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WORK\!КАЛЬКУЛЯТОР\"/>
    </mc:Choice>
  </mc:AlternateContent>
  <xr:revisionPtr revIDLastSave="0" documentId="13_ncr:1_{7405C880-01A8-407C-8B15-C6645B6CA6BB}" xr6:coauthVersionLast="47" xr6:coauthVersionMax="47" xr10:uidLastSave="{00000000-0000-0000-0000-000000000000}"/>
  <workbookProtection workbookAlgorithmName="SHA-512" workbookHashValue="i89Lm2q6QPRX5OCEZrQdbGwBagqQ/dwepILsim0uXXsJAp39R2tHrDUjjuVgbP7LZsaePfsOjd4bdOB94Y994g==" workbookSaltValue="mnBiwNU76kIt799/X0Kdtg==" workbookSpinCount="100000" lockStructure="1"/>
  <bookViews>
    <workbookView xWindow="-120" yWindow="-120" windowWidth="29040" windowHeight="15990" tabRatio="763" xr2:uid="{00000000-000D-0000-FFFF-FFFF00000000}"/>
  </bookViews>
  <sheets>
    <sheet name="ЦЕНЫ" sheetId="27" r:id="rId1"/>
    <sheet name="РАСЧЕТ COSTA NEW" sheetId="25" r:id="rId2"/>
    <sheet name="РАСЧЕТ ONDA NEW" sheetId="26" r:id="rId3"/>
    <sheet name="Списки" sheetId="15" state="hidden" r:id="rId4"/>
    <sheet name="РАСЧЕТ COSTA удалить" sheetId="21" state="hidden" r:id="rId5"/>
    <sheet name="РАСЧЕТ ONDA удалить" sheetId="23" state="hidden" r:id="rId6"/>
    <sheet name="РАСЧЕТ ONDA 72 удалить" sheetId="24" state="hidden" r:id="rId7"/>
    <sheet name="Открытая полка" sheetId="22" state="hidden" r:id="rId8"/>
    <sheet name="RAL" sheetId="3" state="hidden" r:id="rId9"/>
  </sheets>
  <definedNames>
    <definedName name="_xlnm._FilterDatabase" localSheetId="1" hidden="1">'РАСЧЕТ COSTA NEW'!$B$1:$N$53</definedName>
    <definedName name="_xlnm._FilterDatabase" localSheetId="4" hidden="1">'РАСЧЕТ COSTA удалить'!$B$1:$P$53</definedName>
    <definedName name="_xlnm.Print_Area" localSheetId="6">'РАСЧЕТ ONDA 72 удалить'!$A$1:$O$69</definedName>
    <definedName name="_xlnm.Print_Area" localSheetId="2">'РАСЧЕТ ONDA NEW'!$A$1:$O$76</definedName>
    <definedName name="_xlnm.Print_Area" localSheetId="5">'РАСЧЕТ ONDA удалить'!$A$1:$O$75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5" i="25" l="1"/>
  <c r="D5" i="26"/>
  <c r="P36" i="26"/>
  <c r="P37" i="26"/>
  <c r="P35" i="26"/>
  <c r="R26" i="26"/>
  <c r="R16" i="26"/>
  <c r="S16" i="26"/>
  <c r="T16" i="26"/>
  <c r="Q16" i="26"/>
  <c r="J16" i="26"/>
  <c r="K16" i="26"/>
  <c r="L16" i="26"/>
  <c r="I16" i="26"/>
  <c r="K107" i="26" l="1"/>
  <c r="K109" i="26"/>
  <c r="K110" i="26"/>
  <c r="K106" i="26"/>
  <c r="D4" i="26"/>
  <c r="B5" i="26" s="1"/>
  <c r="D3" i="26"/>
  <c r="W37" i="26"/>
  <c r="V37" i="26" s="1"/>
  <c r="W36" i="26"/>
  <c r="V36" i="26" s="1"/>
  <c r="W35" i="26"/>
  <c r="V35" i="26" s="1"/>
  <c r="F23" i="26"/>
  <c r="C21" i="26"/>
  <c r="C20" i="26"/>
  <c r="C19" i="26"/>
  <c r="C18" i="26"/>
  <c r="C17" i="26"/>
  <c r="C16" i="26"/>
  <c r="T31" i="25"/>
  <c r="S6" i="25"/>
  <c r="S5" i="25"/>
  <c r="R13" i="25"/>
  <c r="R12" i="25"/>
  <c r="R11" i="25"/>
  <c r="Q13" i="25"/>
  <c r="Q12" i="25"/>
  <c r="Q11" i="25"/>
  <c r="R10" i="25"/>
  <c r="R9" i="25"/>
  <c r="R8" i="25"/>
  <c r="R7" i="25"/>
  <c r="T22" i="25"/>
  <c r="T21" i="25"/>
  <c r="T20" i="25"/>
  <c r="T19" i="25"/>
  <c r="T18" i="25"/>
  <c r="S22" i="25"/>
  <c r="Q7" i="25"/>
  <c r="Q8" i="25"/>
  <c r="Q9" i="25"/>
  <c r="Q10" i="25"/>
  <c r="H6" i="15"/>
  <c r="Q6" i="15"/>
  <c r="U73" i="15"/>
  <c r="X73" i="15" s="1"/>
  <c r="U74" i="15"/>
  <c r="U75" i="15"/>
  <c r="U76" i="15"/>
  <c r="X76" i="15" s="1"/>
  <c r="U77" i="15"/>
  <c r="X77" i="15" s="1"/>
  <c r="U78" i="15"/>
  <c r="X78" i="15" s="1"/>
  <c r="U79" i="15"/>
  <c r="X79" i="15" s="1"/>
  <c r="U80" i="15"/>
  <c r="X80" i="15" s="1"/>
  <c r="U81" i="15"/>
  <c r="X81" i="15" s="1"/>
  <c r="U82" i="15"/>
  <c r="X82" i="15" s="1"/>
  <c r="U83" i="15"/>
  <c r="X83" i="15" s="1"/>
  <c r="U84" i="15"/>
  <c r="X84" i="15" s="1"/>
  <c r="U85" i="15"/>
  <c r="X85" i="15" s="1"/>
  <c r="U86" i="15"/>
  <c r="X86" i="15" s="1"/>
  <c r="U87" i="15"/>
  <c r="X87" i="15" s="1"/>
  <c r="U88" i="15"/>
  <c r="X88" i="15" s="1"/>
  <c r="U89" i="15"/>
  <c r="X89" i="15" s="1"/>
  <c r="U90" i="15"/>
  <c r="X90" i="15" s="1"/>
  <c r="U91" i="15"/>
  <c r="X91" i="15" s="1"/>
  <c r="U92" i="15"/>
  <c r="X92" i="15" s="1"/>
  <c r="U93" i="15"/>
  <c r="X93" i="15" s="1"/>
  <c r="U94" i="15"/>
  <c r="X94" i="15" s="1"/>
  <c r="U95" i="15"/>
  <c r="X95" i="15" s="1"/>
  <c r="U96" i="15"/>
  <c r="X96" i="15" s="1"/>
  <c r="U97" i="15"/>
  <c r="U98" i="15"/>
  <c r="U99" i="15"/>
  <c r="U100" i="15"/>
  <c r="X100" i="15" s="1"/>
  <c r="U101" i="15"/>
  <c r="U102" i="15"/>
  <c r="X102" i="15" s="1"/>
  <c r="U103" i="15"/>
  <c r="U104" i="15"/>
  <c r="X104" i="15" s="1"/>
  <c r="U105" i="15"/>
  <c r="U106" i="15"/>
  <c r="U107" i="15"/>
  <c r="U108" i="15"/>
  <c r="X108" i="15" s="1"/>
  <c r="U109" i="15"/>
  <c r="X109" i="15" s="1"/>
  <c r="U110" i="15"/>
  <c r="X110" i="15" s="1"/>
  <c r="P73" i="15"/>
  <c r="S73" i="15" s="1"/>
  <c r="P74" i="15"/>
  <c r="P75" i="15"/>
  <c r="P76" i="15"/>
  <c r="P77" i="15"/>
  <c r="P78" i="15"/>
  <c r="S78" i="15" s="1"/>
  <c r="P79" i="15"/>
  <c r="S79" i="15" s="1"/>
  <c r="P80" i="15"/>
  <c r="S80" i="15" s="1"/>
  <c r="P81" i="15"/>
  <c r="P82" i="15"/>
  <c r="P83" i="15"/>
  <c r="S83" i="15" s="1"/>
  <c r="P84" i="15"/>
  <c r="S84" i="15" s="1"/>
  <c r="P85" i="15"/>
  <c r="S85" i="15" s="1"/>
  <c r="P86" i="15"/>
  <c r="S86" i="15" s="1"/>
  <c r="P87" i="15"/>
  <c r="S87" i="15" s="1"/>
  <c r="P88" i="15"/>
  <c r="S88" i="15" s="1"/>
  <c r="P89" i="15"/>
  <c r="P90" i="15"/>
  <c r="P91" i="15"/>
  <c r="P92" i="15"/>
  <c r="S92" i="15" s="1"/>
  <c r="P93" i="15"/>
  <c r="S93" i="15" s="1"/>
  <c r="P94" i="15"/>
  <c r="P95" i="15"/>
  <c r="S95" i="15" s="1"/>
  <c r="P96" i="15"/>
  <c r="S96" i="15" s="1"/>
  <c r="P97" i="15"/>
  <c r="S97" i="15" s="1"/>
  <c r="P98" i="15"/>
  <c r="S98" i="15" s="1"/>
  <c r="P99" i="15"/>
  <c r="S99" i="15" s="1"/>
  <c r="P100" i="15"/>
  <c r="S100" i="15" s="1"/>
  <c r="P101" i="15"/>
  <c r="S101" i="15" s="1"/>
  <c r="P102" i="15"/>
  <c r="P103" i="15"/>
  <c r="P104" i="15"/>
  <c r="S104" i="15" s="1"/>
  <c r="P105" i="15"/>
  <c r="S105" i="15" s="1"/>
  <c r="P106" i="15"/>
  <c r="S106" i="15" s="1"/>
  <c r="P107" i="15"/>
  <c r="S107" i="15" s="1"/>
  <c r="P108" i="15"/>
  <c r="S108" i="15" s="1"/>
  <c r="P109" i="15"/>
  <c r="S74" i="15"/>
  <c r="S75" i="15"/>
  <c r="S81" i="15"/>
  <c r="S82" i="15"/>
  <c r="S89" i="15"/>
  <c r="S90" i="15"/>
  <c r="S91" i="15"/>
  <c r="S94" i="15"/>
  <c r="S102" i="15"/>
  <c r="S103" i="15"/>
  <c r="S109" i="15"/>
  <c r="I51" i="25"/>
  <c r="J51" i="25"/>
  <c r="K51" i="25"/>
  <c r="H51" i="25"/>
  <c r="I63" i="25"/>
  <c r="C51" i="25"/>
  <c r="D51" i="25"/>
  <c r="E51" i="25"/>
  <c r="B51" i="25"/>
  <c r="I17" i="23"/>
  <c r="U112" i="15"/>
  <c r="X112" i="15" s="1"/>
  <c r="U111" i="15"/>
  <c r="X111" i="15" s="1"/>
  <c r="P112" i="15"/>
  <c r="S112" i="15" s="1"/>
  <c r="P111" i="15"/>
  <c r="S111" i="15" s="1"/>
  <c r="P110" i="15"/>
  <c r="S110" i="15" s="1"/>
  <c r="Q11" i="15"/>
  <c r="Q12" i="15"/>
  <c r="Q10" i="15"/>
  <c r="E4" i="15"/>
  <c r="H4" i="15" s="1"/>
  <c r="E5" i="15"/>
  <c r="H5" i="15" s="1"/>
  <c r="E6" i="15"/>
  <c r="E7" i="15"/>
  <c r="H7" i="15" s="1"/>
  <c r="E8" i="15"/>
  <c r="H8" i="15" s="1"/>
  <c r="E9" i="15"/>
  <c r="H9" i="15" s="1"/>
  <c r="E10" i="15"/>
  <c r="H10" i="15" s="1"/>
  <c r="E11" i="15"/>
  <c r="H11" i="15" s="1"/>
  <c r="E12" i="15"/>
  <c r="H12" i="15" s="1"/>
  <c r="E13" i="15"/>
  <c r="J110" i="15"/>
  <c r="J111" i="15"/>
  <c r="D109" i="15"/>
  <c r="D110" i="15"/>
  <c r="D111" i="15"/>
  <c r="D112" i="15"/>
  <c r="B3" i="26" l="1"/>
  <c r="B4" i="26"/>
  <c r="U6" i="15"/>
  <c r="U10" i="15"/>
  <c r="U11" i="15"/>
  <c r="Q4" i="15"/>
  <c r="T4" i="15" s="1"/>
  <c r="Q5" i="15"/>
  <c r="T5" i="15" s="1"/>
  <c r="T6" i="15"/>
  <c r="Q7" i="15"/>
  <c r="T7" i="15" s="1"/>
  <c r="Q8" i="15"/>
  <c r="T8" i="15" s="1"/>
  <c r="Q9" i="15"/>
  <c r="T9" i="15" s="1"/>
  <c r="T10" i="15"/>
  <c r="T11" i="15"/>
  <c r="T12" i="15"/>
  <c r="Q13" i="15"/>
  <c r="T13" i="15" s="1"/>
  <c r="T14" i="15"/>
  <c r="I4" i="15"/>
  <c r="I5" i="15"/>
  <c r="I6" i="15"/>
  <c r="I7" i="15"/>
  <c r="I8" i="15"/>
  <c r="I9" i="15"/>
  <c r="I10" i="15"/>
  <c r="I11" i="15"/>
  <c r="I12" i="15"/>
  <c r="I13" i="15"/>
  <c r="H14" i="15"/>
  <c r="H13" i="15"/>
  <c r="B32" i="25"/>
  <c r="B31" i="25"/>
  <c r="B30" i="25"/>
  <c r="K29" i="25"/>
  <c r="K27" i="25"/>
  <c r="K28" i="25"/>
  <c r="N73" i="25"/>
  <c r="G73" i="25" s="1"/>
  <c r="N72" i="25"/>
  <c r="G72" i="25" s="1"/>
  <c r="N71" i="25"/>
  <c r="G71" i="25" s="1"/>
  <c r="S27" i="25"/>
  <c r="T27" i="25" s="1"/>
  <c r="S26" i="25"/>
  <c r="T26" i="25" s="1"/>
  <c r="S25" i="25"/>
  <c r="S24" i="25"/>
  <c r="T17" i="25"/>
  <c r="T16" i="25"/>
  <c r="T15" i="25"/>
  <c r="T14" i="25"/>
  <c r="S13" i="25"/>
  <c r="S12" i="25"/>
  <c r="S11" i="25"/>
  <c r="S10" i="25"/>
  <c r="S9" i="25"/>
  <c r="S8" i="25"/>
  <c r="T7" i="25"/>
  <c r="K26" i="25"/>
  <c r="K25" i="25"/>
  <c r="K24" i="25"/>
  <c r="D26" i="25"/>
  <c r="D25" i="25"/>
  <c r="D20" i="25"/>
  <c r="D19" i="25"/>
  <c r="D14" i="25"/>
  <c r="D13" i="25"/>
  <c r="E29" i="25"/>
  <c r="E28" i="25"/>
  <c r="E27" i="25"/>
  <c r="H4" i="21"/>
  <c r="H5" i="21"/>
  <c r="H6" i="21"/>
  <c r="M27" i="21"/>
  <c r="M24" i="21"/>
  <c r="C3" i="3"/>
  <c r="J77" i="15"/>
  <c r="J76" i="15"/>
  <c r="O39" i="24"/>
  <c r="N39" i="24" s="1"/>
  <c r="O38" i="24"/>
  <c r="N38" i="24" s="1"/>
  <c r="O37" i="24"/>
  <c r="F22" i="24"/>
  <c r="C20" i="24"/>
  <c r="C19" i="24"/>
  <c r="C18" i="24"/>
  <c r="L17" i="24"/>
  <c r="K17" i="24"/>
  <c r="J17" i="24"/>
  <c r="I17" i="24"/>
  <c r="C17" i="24"/>
  <c r="C16" i="24"/>
  <c r="C15" i="24"/>
  <c r="D3" i="24"/>
  <c r="B4" i="24" s="1"/>
  <c r="H39" i="24" s="1"/>
  <c r="D2" i="24"/>
  <c r="B3" i="24" s="1"/>
  <c r="N35" i="23"/>
  <c r="N36" i="23"/>
  <c r="N34" i="23"/>
  <c r="D4" i="23" s="1"/>
  <c r="O35" i="23"/>
  <c r="O36" i="23"/>
  <c r="O34" i="23"/>
  <c r="F22" i="23"/>
  <c r="C20" i="23"/>
  <c r="C19" i="23"/>
  <c r="C18" i="23"/>
  <c r="L17" i="23"/>
  <c r="K17" i="23"/>
  <c r="J17" i="23"/>
  <c r="C17" i="23"/>
  <c r="C16" i="23"/>
  <c r="C15" i="23"/>
  <c r="D3" i="23"/>
  <c r="B4" i="23" s="1"/>
  <c r="D2" i="23"/>
  <c r="B3" i="23" s="1"/>
  <c r="D24" i="25" l="1"/>
  <c r="D22" i="25"/>
  <c r="G10" i="25"/>
  <c r="F27" i="25"/>
  <c r="G17" i="25"/>
  <c r="F28" i="25"/>
  <c r="G22" i="25"/>
  <c r="F29" i="25"/>
  <c r="D16" i="25"/>
  <c r="D18" i="25"/>
  <c r="C30" i="25"/>
  <c r="D10" i="25"/>
  <c r="D12" i="25"/>
  <c r="M73" i="25"/>
  <c r="T30" i="25" s="1"/>
  <c r="M72" i="25"/>
  <c r="T29" i="25" s="1"/>
  <c r="C31" i="25"/>
  <c r="C32" i="25"/>
  <c r="G12" i="25"/>
  <c r="G13" i="25"/>
  <c r="T23" i="25"/>
  <c r="G15" i="25"/>
  <c r="G18" i="25"/>
  <c r="G20" i="25"/>
  <c r="M71" i="25"/>
  <c r="T28" i="25" s="1"/>
  <c r="G23" i="25"/>
  <c r="H35" i="23"/>
  <c r="H34" i="23"/>
  <c r="H37" i="24"/>
  <c r="N37" i="24"/>
  <c r="D4" i="24" s="1"/>
  <c r="H38" i="24"/>
  <c r="H36" i="23"/>
  <c r="H61" i="21"/>
  <c r="P69" i="21"/>
  <c r="P70" i="21"/>
  <c r="P68" i="21"/>
  <c r="T9" i="25" l="1"/>
  <c r="T10" i="25"/>
  <c r="T8" i="25"/>
  <c r="D28" i="25"/>
  <c r="T11" i="25"/>
  <c r="T12" i="25"/>
  <c r="T13" i="25"/>
  <c r="G25" i="25"/>
  <c r="I69" i="21"/>
  <c r="O69" i="21"/>
  <c r="H59" i="21" s="1"/>
  <c r="I70" i="21"/>
  <c r="O70" i="21"/>
  <c r="H60" i="21" s="1"/>
  <c r="B2" i="23"/>
  <c r="O68" i="21"/>
  <c r="H58" i="21" s="1"/>
  <c r="I68" i="21"/>
  <c r="B2" i="24"/>
  <c r="T33" i="25" l="1"/>
  <c r="G57" i="21"/>
  <c r="H57" i="21" s="1"/>
  <c r="G56" i="21"/>
  <c r="H56" i="21" s="1"/>
  <c r="G55" i="21"/>
  <c r="H55" i="21" s="1"/>
  <c r="G54" i="21"/>
  <c r="H52" i="21"/>
  <c r="M51" i="21"/>
  <c r="L51" i="21"/>
  <c r="K51" i="21"/>
  <c r="J51" i="21"/>
  <c r="H51" i="21"/>
  <c r="H50" i="21"/>
  <c r="H49" i="21"/>
  <c r="G48" i="21"/>
  <c r="D48" i="21"/>
  <c r="G47" i="21"/>
  <c r="D47" i="21"/>
  <c r="G46" i="21"/>
  <c r="D46" i="21"/>
  <c r="G45" i="21"/>
  <c r="G44" i="21"/>
  <c r="G43" i="21"/>
  <c r="H42" i="21"/>
  <c r="G40" i="21"/>
  <c r="G39" i="21"/>
  <c r="G38" i="21"/>
  <c r="M29" i="21" l="1"/>
  <c r="M28" i="21"/>
  <c r="M26" i="21"/>
  <c r="M25" i="21"/>
  <c r="H53" i="21" l="1"/>
  <c r="A20" i="21"/>
  <c r="D21" i="21" s="1"/>
  <c r="A15" i="21"/>
  <c r="D16" i="21" s="1"/>
  <c r="A10" i="21"/>
  <c r="D11" i="21" s="1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100" i="15"/>
  <c r="J102" i="15"/>
  <c r="J104" i="15"/>
  <c r="J108" i="15"/>
  <c r="J113" i="15"/>
  <c r="J73" i="15"/>
  <c r="I23" i="21"/>
  <c r="I15" i="21"/>
  <c r="I10" i="21"/>
  <c r="D23" i="21"/>
  <c r="D22" i="21"/>
  <c r="D20" i="21"/>
  <c r="D18" i="21"/>
  <c r="D17" i="21"/>
  <c r="D15" i="21"/>
  <c r="D13" i="21"/>
  <c r="D12" i="21"/>
  <c r="D10" i="21"/>
  <c r="D74" i="15"/>
  <c r="D75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13" i="15"/>
  <c r="D73" i="15"/>
  <c r="H45" i="21" l="1"/>
  <c r="H44" i="21"/>
  <c r="H43" i="21"/>
  <c r="I18" i="21"/>
  <c r="D25" i="21"/>
  <c r="I20" i="21"/>
  <c r="I22" i="21"/>
  <c r="I17" i="21"/>
  <c r="I13" i="21"/>
  <c r="I12" i="21"/>
  <c r="H46" i="21" l="1"/>
  <c r="H47" i="21"/>
  <c r="H48" i="21"/>
  <c r="I25" i="21"/>
  <c r="H63" i="21" l="1"/>
  <c r="E20" i="21" l="1"/>
  <c r="E15" i="21"/>
  <c r="E10" i="21"/>
  <c r="C39" i="15"/>
  <c r="C36" i="15"/>
  <c r="C33" i="15"/>
  <c r="T4" i="21" l="1"/>
  <c r="T3" i="21"/>
  <c r="C3" i="21"/>
  <c r="G41" i="21" s="1"/>
  <c r="S3" i="21"/>
  <c r="U3" i="21"/>
  <c r="S4" i="21"/>
  <c r="D4" i="3"/>
  <c r="D3" i="3" l="1"/>
  <c r="C4" i="3" l="1"/>
  <c r="C3" i="25"/>
  <c r="S4" i="25" s="1"/>
</calcChain>
</file>

<file path=xl/sharedStrings.xml><?xml version="1.0" encoding="utf-8"?>
<sst xmlns="http://schemas.openxmlformats.org/spreadsheetml/2006/main" count="1202" uniqueCount="401">
  <si>
    <t>белый</t>
  </si>
  <si>
    <t>Вес, кг</t>
  </si>
  <si>
    <t>по RAL</t>
  </si>
  <si>
    <t>стандартное одно отверстие</t>
  </si>
  <si>
    <t>без отверстия</t>
  </si>
  <si>
    <t>указано на схеме</t>
  </si>
  <si>
    <t>Общая ширина, мм</t>
  </si>
  <si>
    <t>Общая глубина, мм</t>
  </si>
  <si>
    <t>ONDA FLOW OVAL</t>
  </si>
  <si>
    <t>ONDA FLOW ROUND</t>
  </si>
  <si>
    <t xml:space="preserve">ONDA FLOW SQUARE </t>
  </si>
  <si>
    <t>ONDA EDGE SQUARE</t>
  </si>
  <si>
    <t>ONDA EDGE ROUND</t>
  </si>
  <si>
    <t>ONDA EDGE OVAL</t>
  </si>
  <si>
    <t>Модель раковины из списка:</t>
  </si>
  <si>
    <t>Цена</t>
  </si>
  <si>
    <t>Цвет</t>
  </si>
  <si>
    <t>Количество</t>
  </si>
  <si>
    <t>белая</t>
  </si>
  <si>
    <t>Раковина 1</t>
  </si>
  <si>
    <t>Marea 04</t>
  </si>
  <si>
    <t>Цвет раковины 1</t>
  </si>
  <si>
    <t>Вклейка раковины 1</t>
  </si>
  <si>
    <t>Раковина 2</t>
  </si>
  <si>
    <t>нет</t>
  </si>
  <si>
    <t>Цвет раковины 2</t>
  </si>
  <si>
    <t>Вклейка раковины 2</t>
  </si>
  <si>
    <t>Донный клапан 1</t>
  </si>
  <si>
    <t>Донный клапан 2</t>
  </si>
  <si>
    <t>Раковина 3</t>
  </si>
  <si>
    <t>Цвет раковины 3</t>
  </si>
  <si>
    <t>Вклейка раковины 3</t>
  </si>
  <si>
    <t>Донный клапан 3</t>
  </si>
  <si>
    <t>Отверстие под смеситель (выбрать)</t>
  </si>
  <si>
    <t>РАСЧЕТ СТОИМОСТИ РАКОВИНЫ ONDA EDGE / FLOW</t>
  </si>
  <si>
    <t>РАСЧЕТ СТОИМОСТИ СТОЛЕШНИЦЫ COSTA</t>
  </si>
  <si>
    <t>Выберите расположение центра раковины 1:</t>
  </si>
  <si>
    <t>Выберите расположение центра раковины 2:</t>
  </si>
  <si>
    <t>В соответствии с этими размерами мы вырежем отверстие под сифон или под встраиваемую раковину Salini:</t>
  </si>
  <si>
    <t>Фронтальный фартук</t>
  </si>
  <si>
    <t>D (глубина столешницы), мм</t>
  </si>
  <si>
    <t>H (высота фартука), мм</t>
  </si>
  <si>
    <t>до 399</t>
  </si>
  <si>
    <t>400-449</t>
  </si>
  <si>
    <t>450-499</t>
  </si>
  <si>
    <t>500-549</t>
  </si>
  <si>
    <t>550-599</t>
  </si>
  <si>
    <t>600-649</t>
  </si>
  <si>
    <t>650-700</t>
  </si>
  <si>
    <t>до 99</t>
  </si>
  <si>
    <t>100-199</t>
  </si>
  <si>
    <t>200-299</t>
  </si>
  <si>
    <t>300-400</t>
  </si>
  <si>
    <t>D (глубина раковины), мм</t>
  </si>
  <si>
    <t>до 499</t>
  </si>
  <si>
    <t>500 - 599</t>
  </si>
  <si>
    <t>600 - 699</t>
  </si>
  <si>
    <t>700 - 799</t>
  </si>
  <si>
    <t>800 - 899</t>
  </si>
  <si>
    <t>900 - 999</t>
  </si>
  <si>
    <t>1000 - 1099</t>
  </si>
  <si>
    <t>1100 - 1199</t>
  </si>
  <si>
    <t>1200 - 1299</t>
  </si>
  <si>
    <t>1300 - 1399</t>
  </si>
  <si>
    <t>1400 - 1499</t>
  </si>
  <si>
    <t>1500 - 1599</t>
  </si>
  <si>
    <t>1600 - 1699</t>
  </si>
  <si>
    <t>1700 - 1799</t>
  </si>
  <si>
    <t>1800 - 1899</t>
  </si>
  <si>
    <t>1900 - 1999</t>
  </si>
  <si>
    <t>2000 - 2099</t>
  </si>
  <si>
    <t>2100 - 2199</t>
  </si>
  <si>
    <t>2200 - 2299</t>
  </si>
  <si>
    <t>2300 - 2399</t>
  </si>
  <si>
    <t>2400 - 2499</t>
  </si>
  <si>
    <t>2500 - 2599</t>
  </si>
  <si>
    <t>2600 - 2699</t>
  </si>
  <si>
    <t>2700 - 2799</t>
  </si>
  <si>
    <t>2800 - 2899</t>
  </si>
  <si>
    <t>2900 - 3000</t>
  </si>
  <si>
    <t>Цвет столешницы, RAL:</t>
  </si>
  <si>
    <t>Ширина столешницы слева, +мм</t>
  </si>
  <si>
    <t>Глубина столешницы перед чашей, +мм</t>
  </si>
  <si>
    <t>Ширина столешницы справа, +мм</t>
  </si>
  <si>
    <t>Глубина столешницы за чашей +мм</t>
  </si>
  <si>
    <t>Отверстие под смеситель</t>
  </si>
  <si>
    <t xml:space="preserve">СТОЛЕШНИЦА COSTA </t>
  </si>
  <si>
    <t>РАКОВИНЫ ONDA</t>
  </si>
  <si>
    <t>ФАРТУК</t>
  </si>
  <si>
    <t>Greca</t>
  </si>
  <si>
    <t>Marea 01</t>
  </si>
  <si>
    <t>Marea 02</t>
  </si>
  <si>
    <t>Marea 03</t>
  </si>
  <si>
    <t>Marea 05</t>
  </si>
  <si>
    <t>Marea 06</t>
  </si>
  <si>
    <t>Marea 07</t>
  </si>
  <si>
    <t>Marea 08</t>
  </si>
  <si>
    <t>Marea 09</t>
  </si>
  <si>
    <t>Marea 10</t>
  </si>
  <si>
    <t>Marea 11</t>
  </si>
  <si>
    <t>Marea 12</t>
  </si>
  <si>
    <t>Marea 14</t>
  </si>
  <si>
    <t xml:space="preserve">Фронтальный фартук </t>
  </si>
  <si>
    <t>Задний фартук</t>
  </si>
  <si>
    <t>Левый фартук</t>
  </si>
  <si>
    <t>Правый фартук</t>
  </si>
  <si>
    <t>Впишите высоту фартука (H), мм</t>
  </si>
  <si>
    <t>Впишите длину фартука (L), мм</t>
  </si>
  <si>
    <t>Впишите цвет фартука по RAL, по умолчанию белый</t>
  </si>
  <si>
    <t>Вес фартука, кг (считается автоматически)</t>
  </si>
  <si>
    <t>Впишите стоимость из таблицы цен, при покраске по RAL +50%</t>
  </si>
  <si>
    <t>подклейка с нависанием</t>
  </si>
  <si>
    <t>интеграция в один уровень</t>
  </si>
  <si>
    <t>белый с лого</t>
  </si>
  <si>
    <t>цветной с лого</t>
  </si>
  <si>
    <t>RAL, указать:</t>
  </si>
  <si>
    <t>считается автоматически</t>
  </si>
  <si>
    <t>нужно вписать вручную</t>
  </si>
  <si>
    <t>выбрать из списка</t>
  </si>
  <si>
    <t>Если необходимо обрезать столешницу в любой нестандартной конфигурации или сделать отверстия под смеситель - просто приложите чертеж, мы сделаем обрезы и отверстия бесплатно.</t>
  </si>
  <si>
    <t>РАСПОЛОЖЕНИЕ РАКОВИН И ДОПОЛНИТЕЛЬНЫЕ ОПЦИИ</t>
  </si>
  <si>
    <t>ИЗГОТОВЛЕНИЕ ФАРТУКОВ ДЛЯ СТОЛЕШНИЦЫ</t>
  </si>
  <si>
    <t>ИТОГОВАЯ ИНФОРМАЦИЯ ПО ЗАКАЗУ</t>
  </si>
  <si>
    <t>Кронштейны</t>
  </si>
  <si>
    <t>цена</t>
  </si>
  <si>
    <t>информация</t>
  </si>
  <si>
    <t>RAL раковины 1:</t>
  </si>
  <si>
    <t>RAL раковины 3:</t>
  </si>
  <si>
    <t>RAL раковины 2:</t>
  </si>
  <si>
    <t>Столешница - стоимость</t>
  </si>
  <si>
    <t>Если устанавливаем 2 раковины - укажите координаты второй раковины, для добавления третей раковины обратитесь к менеджеру:</t>
  </si>
  <si>
    <t>Название партнера</t>
  </si>
  <si>
    <t>ONDA PLUS</t>
  </si>
  <si>
    <t>Ширина чаши, мм</t>
  </si>
  <si>
    <t>Глубина чаши, мм</t>
  </si>
  <si>
    <t>Впишите стоимость из вкладки ЦЕНЫ</t>
  </si>
  <si>
    <t>Общая стоимость</t>
  </si>
  <si>
    <t>При выборе цвета по RAL сразу впишите цену с учетом наценки 50%</t>
  </si>
  <si>
    <t>Формы чаш ONDA EDGE, FLOW</t>
  </si>
  <si>
    <t>Слив-перелив (выбрать)</t>
  </si>
  <si>
    <t>L (ширина столешницы), мм</t>
  </si>
  <si>
    <t>L (ширина раковины), мм</t>
  </si>
  <si>
    <t>L (ширина фартука), мм</t>
  </si>
  <si>
    <t>Выберите кронштейн</t>
  </si>
  <si>
    <r>
      <t xml:space="preserve">кронштейн 400 мм, </t>
    </r>
    <r>
      <rPr>
        <b/>
        <sz val="10"/>
        <color theme="1"/>
        <rFont val="Calibri"/>
        <family val="2"/>
        <charset val="204"/>
        <scheme val="minor"/>
      </rPr>
      <t>белый</t>
    </r>
  </si>
  <si>
    <r>
      <t xml:space="preserve">кронштейн 400 мм, </t>
    </r>
    <r>
      <rPr>
        <b/>
        <sz val="10"/>
        <color theme="1"/>
        <rFont val="Calibri"/>
        <family val="2"/>
        <charset val="204"/>
        <scheme val="minor"/>
      </rPr>
      <t>RAL</t>
    </r>
  </si>
  <si>
    <t>Кронштейн 400 мм</t>
  </si>
  <si>
    <t>Выберите необходимые кронштейны (продаются по 1 шт.):</t>
  </si>
  <si>
    <t>да</t>
  </si>
  <si>
    <r>
      <t xml:space="preserve">размер чаши ONDA FLOW/EDGE 520x360 мм, ONDA PLUS 500x340 мм, минимальная обрезка столешницы от краев чаши +20 мм, 
</t>
    </r>
    <r>
      <rPr>
        <sz val="10"/>
        <color rgb="FFFF0000"/>
        <rFont val="Calibri"/>
        <family val="2"/>
        <charset val="204"/>
        <scheme val="minor"/>
      </rPr>
      <t>ниже ограничения размеров в зависимости от выбора чаши</t>
    </r>
  </si>
  <si>
    <t>РАКОВИНЫ ONDA 72</t>
  </si>
  <si>
    <t>ONDA PLUS 72</t>
  </si>
  <si>
    <t>ONDA FLOW OVAL 72</t>
  </si>
  <si>
    <t>ONDA FLOW ROUND 72</t>
  </si>
  <si>
    <t>760 - 799</t>
  </si>
  <si>
    <t>Минус вес размера вырезанного куска столешницы</t>
  </si>
  <si>
    <t>Вес встроенной раковины</t>
  </si>
  <si>
    <t>Вес столешницы с/без раковины, кг</t>
  </si>
  <si>
    <t>Разница веса в калькулятор</t>
  </si>
  <si>
    <t>Размер вырезанного куска столешницы, ширина</t>
  </si>
  <si>
    <t>Размер вырезанного куска столешницы, глубина</t>
  </si>
  <si>
    <t>300х40 мм, R20</t>
  </si>
  <si>
    <t>500х40 мм, R20</t>
  </si>
  <si>
    <t>700х40 мм, R20</t>
  </si>
  <si>
    <t>Кронштейны для подвесного монтажа (кронштейны продаются по 1 шт.)</t>
  </si>
  <si>
    <t>Стоимость столешницы с интегрированной раковиной</t>
  </si>
  <si>
    <r>
      <rPr>
        <b/>
        <sz val="10"/>
        <color indexed="2"/>
        <rFont val="Calibri"/>
        <family val="2"/>
        <charset val="204"/>
        <scheme val="minor"/>
      </rPr>
      <t xml:space="preserve">     A</t>
    </r>
    <r>
      <rPr>
        <sz val="10"/>
        <color theme="1"/>
        <rFont val="Calibri"/>
        <family val="2"/>
        <charset val="204"/>
        <scheme val="minor"/>
      </rPr>
      <t>, от левого края, мм</t>
    </r>
  </si>
  <si>
    <r>
      <rPr>
        <b/>
        <sz val="10"/>
        <color indexed="2"/>
        <rFont val="Calibri"/>
        <family val="2"/>
        <charset val="204"/>
        <scheme val="minor"/>
      </rPr>
      <t xml:space="preserve">     B</t>
    </r>
    <r>
      <rPr>
        <sz val="10"/>
        <color theme="1"/>
        <rFont val="Calibri"/>
        <family val="2"/>
        <charset val="204"/>
        <scheme val="minor"/>
      </rPr>
      <t>, от переднего края, мм</t>
    </r>
  </si>
  <si>
    <r>
      <rPr>
        <b/>
        <sz val="10"/>
        <color rgb="FF0070C0"/>
        <rFont val="Calibri"/>
        <family val="2"/>
        <charset val="204"/>
        <scheme val="minor"/>
      </rPr>
      <t xml:space="preserve">    С</t>
    </r>
    <r>
      <rPr>
        <sz val="10"/>
        <color theme="1"/>
        <rFont val="Calibri"/>
        <family val="2"/>
        <charset val="204"/>
        <scheme val="minor"/>
      </rPr>
      <t>, от левого края, мм</t>
    </r>
  </si>
  <si>
    <r>
      <rPr>
        <b/>
        <sz val="10"/>
        <color rgb="FF0070C0"/>
        <rFont val="Calibri"/>
        <family val="2"/>
        <charset val="204"/>
        <scheme val="minor"/>
      </rPr>
      <t xml:space="preserve">    D</t>
    </r>
    <r>
      <rPr>
        <sz val="10"/>
        <color theme="1"/>
        <rFont val="Calibri"/>
        <family val="2"/>
        <charset val="204"/>
        <scheme val="minor"/>
      </rPr>
      <t>, от переднего края, мм</t>
    </r>
  </si>
  <si>
    <t>Транспортировочная обрешетка</t>
  </si>
  <si>
    <t>Выберите размер и количество вырезов под полотенце в фартуке</t>
  </si>
  <si>
    <t>Размер выреза №1</t>
  </si>
  <si>
    <t>Размер выреза №2</t>
  </si>
  <si>
    <t>Количество вырезов</t>
  </si>
  <si>
    <t>Размер выреза</t>
  </si>
  <si>
    <t>Вырез под полотенце в левом боковом фартуке</t>
  </si>
  <si>
    <t>Вырез под полотенце в правом боковом фартуке</t>
  </si>
  <si>
    <t>Вырез под полотенце во фронтальном фартуке</t>
  </si>
  <si>
    <t>по умолчанию мы расположим их симметрично относительно первой, или приложите схему</t>
  </si>
  <si>
    <t>Внимание! В стоимость раковины входит по умолчанию 1 чаша</t>
  </si>
  <si>
    <r>
      <rPr>
        <b/>
        <sz val="10"/>
        <color rgb="FFFF0000"/>
        <rFont val="Calibri"/>
        <family val="2"/>
        <charset val="204"/>
        <scheme val="minor"/>
      </rPr>
      <t>Дополнительные</t>
    </r>
    <r>
      <rPr>
        <b/>
        <sz val="10"/>
        <color theme="1"/>
        <rFont val="Calibri"/>
        <family val="2"/>
        <charset val="204"/>
        <scheme val="minor"/>
      </rPr>
      <t xml:space="preserve"> чаши (выбрать количество):</t>
    </r>
  </si>
  <si>
    <r>
      <t xml:space="preserve">Выберите </t>
    </r>
    <r>
      <rPr>
        <b/>
        <sz val="11"/>
        <color rgb="FFFF0000"/>
        <rFont val="Calibri"/>
        <family val="2"/>
        <charset val="204"/>
        <scheme val="minor"/>
      </rPr>
      <t>интенгрированную</t>
    </r>
    <r>
      <rPr>
        <b/>
        <sz val="11"/>
        <color theme="1"/>
        <rFont val="Calibri"/>
        <family val="2"/>
        <charset val="204"/>
        <scheme val="minor"/>
      </rPr>
      <t xml:space="preserve"> раковину </t>
    </r>
  </si>
  <si>
    <t>Итого стоимость с учетом всех опций и раковин:</t>
  </si>
  <si>
    <r>
      <t xml:space="preserve">Выберите </t>
    </r>
    <r>
      <rPr>
        <b/>
        <sz val="11"/>
        <color rgb="FFFF0000"/>
        <rFont val="Calibri"/>
        <family val="2"/>
        <charset val="204"/>
        <scheme val="minor"/>
      </rPr>
      <t>накладную</t>
    </r>
    <r>
      <rPr>
        <b/>
        <sz val="11"/>
        <color theme="1"/>
        <rFont val="Calibri"/>
        <family val="2"/>
        <charset val="204"/>
        <scheme val="minor"/>
      </rPr>
      <t xml:space="preserve"> раковину </t>
    </r>
  </si>
  <si>
    <t>Стоимость столешницы с накладной раковиной</t>
  </si>
  <si>
    <t>MONA</t>
  </si>
  <si>
    <t>D504/D604</t>
  </si>
  <si>
    <t>Накладная раковина</t>
  </si>
  <si>
    <t>ДК</t>
  </si>
  <si>
    <t>LUCE</t>
  </si>
  <si>
    <t>NINFEA 02</t>
  </si>
  <si>
    <t>D503</t>
  </si>
  <si>
    <t>ALDA 01</t>
  </si>
  <si>
    <t>ALDA 02</t>
  </si>
  <si>
    <t>D501/D601</t>
  </si>
  <si>
    <t>ALDA WALL 01</t>
  </si>
  <si>
    <t>ALDA WALL 02</t>
  </si>
  <si>
    <t>ALDA WALL 03</t>
  </si>
  <si>
    <t>ARMONIA 02</t>
  </si>
  <si>
    <t>ARMONIA TOP 02</t>
  </si>
  <si>
    <t>D502/D602</t>
  </si>
  <si>
    <t>ARMONIA ROUND 02</t>
  </si>
  <si>
    <t>ARMONIA ROUND TOP 02</t>
  </si>
  <si>
    <t>ARMONIA SQUARE 02</t>
  </si>
  <si>
    <t>ARMONIA SQUARE TOP 02</t>
  </si>
  <si>
    <t>PAOLA</t>
  </si>
  <si>
    <t>NOEMI</t>
  </si>
  <si>
    <t>SOFIA</t>
  </si>
  <si>
    <t>CALLISTA 01</t>
  </si>
  <si>
    <t>CALLISTA 02</t>
  </si>
  <si>
    <t>CALLISTA 03</t>
  </si>
  <si>
    <t>CALLISTA 04</t>
  </si>
  <si>
    <t>CALLISTA 05</t>
  </si>
  <si>
    <t>GLORIA 01</t>
  </si>
  <si>
    <t>GLORIA 02</t>
  </si>
  <si>
    <t>GLORIA 03</t>
  </si>
  <si>
    <t>GLORIA 04</t>
  </si>
  <si>
    <t>Интегрированная раковина 1</t>
  </si>
  <si>
    <t>Интегрированная раковина 2</t>
  </si>
  <si>
    <t>Интегрированная раковина 3</t>
  </si>
  <si>
    <t xml:space="preserve">               вклейка накладной раковины      
               в столешницу      </t>
  </si>
  <si>
    <t>GLORIA 05</t>
  </si>
  <si>
    <t>GLORIA 06</t>
  </si>
  <si>
    <t>GLORIA 07</t>
  </si>
  <si>
    <t>GLORIA 08</t>
  </si>
  <si>
    <t>GLORIA 09</t>
  </si>
  <si>
    <t>GLORIA 10</t>
  </si>
  <si>
    <t>GLORIA 11</t>
  </si>
  <si>
    <t>OTTAVIA</t>
  </si>
  <si>
    <t>Накладная раковина 1</t>
  </si>
  <si>
    <t>Накладная раковина 2</t>
  </si>
  <si>
    <t>Накладная раковина 3</t>
  </si>
  <si>
    <t>Выберите размер и количество вырезов для полотенца в фартуке</t>
  </si>
  <si>
    <r>
      <t xml:space="preserve">усиленный кронштейн 450 мм </t>
    </r>
    <r>
      <rPr>
        <b/>
        <sz val="10"/>
        <color theme="1"/>
        <rFont val="Calibri"/>
        <family val="2"/>
        <charset val="204"/>
        <scheme val="minor"/>
      </rPr>
      <t>правый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theme="1"/>
        <rFont val="Calibri"/>
        <family val="2"/>
        <charset val="204"/>
        <scheme val="minor"/>
      </rPr>
      <t>белый</t>
    </r>
  </si>
  <si>
    <t>Усиленный кронштейн 450 мм</t>
  </si>
  <si>
    <r>
      <t xml:space="preserve">усиленный кронштейн 450 мм </t>
    </r>
    <r>
      <rPr>
        <b/>
        <sz val="10"/>
        <color theme="1"/>
        <rFont val="Calibri"/>
        <family val="2"/>
        <charset val="204"/>
        <scheme val="minor"/>
      </rPr>
      <t>правый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theme="1"/>
        <rFont val="Calibri"/>
        <family val="2"/>
        <charset val="204"/>
        <scheme val="minor"/>
      </rPr>
      <t>RAL</t>
    </r>
  </si>
  <si>
    <r>
      <t xml:space="preserve">усиленный кронштейн 450 мм </t>
    </r>
    <r>
      <rPr>
        <b/>
        <sz val="10"/>
        <color theme="1"/>
        <rFont val="Calibri"/>
        <family val="2"/>
        <charset val="204"/>
        <scheme val="minor"/>
      </rPr>
      <t>левый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theme="1"/>
        <rFont val="Calibri"/>
        <family val="2"/>
        <charset val="204"/>
        <scheme val="minor"/>
      </rPr>
      <t>белый</t>
    </r>
  </si>
  <si>
    <r>
      <t xml:space="preserve">усиленный кронштейн 450 мм </t>
    </r>
    <r>
      <rPr>
        <b/>
        <sz val="10"/>
        <color theme="1"/>
        <rFont val="Calibri"/>
        <family val="2"/>
        <charset val="204"/>
        <scheme val="minor"/>
      </rPr>
      <t>левый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theme="1"/>
        <rFont val="Calibri"/>
        <family val="2"/>
        <charset val="204"/>
        <scheme val="minor"/>
      </rPr>
      <t>RAL</t>
    </r>
  </si>
  <si>
    <t>s-stone</t>
  </si>
  <si>
    <r>
      <t xml:space="preserve">усиленный кронштейн </t>
    </r>
    <r>
      <rPr>
        <b/>
        <sz val="10"/>
        <color theme="1"/>
        <rFont val="Calibri"/>
        <family val="2"/>
        <charset val="204"/>
        <scheme val="minor"/>
      </rPr>
      <t>450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мм правый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theme="1"/>
        <rFont val="Calibri"/>
        <family val="2"/>
        <charset val="204"/>
        <scheme val="minor"/>
      </rPr>
      <t>белый</t>
    </r>
  </si>
  <si>
    <r>
      <t xml:space="preserve">усиленный кронштейн </t>
    </r>
    <r>
      <rPr>
        <b/>
        <sz val="10"/>
        <color theme="1"/>
        <rFont val="Calibri"/>
        <family val="2"/>
        <charset val="204"/>
        <scheme val="minor"/>
      </rPr>
      <t>450 мм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правый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theme="1"/>
        <rFont val="Calibri"/>
        <family val="2"/>
        <charset val="204"/>
        <scheme val="minor"/>
      </rPr>
      <t>RAL</t>
    </r>
  </si>
  <si>
    <r>
      <t xml:space="preserve">усиленный кронштейн </t>
    </r>
    <r>
      <rPr>
        <b/>
        <sz val="10"/>
        <color theme="1"/>
        <rFont val="Calibri"/>
        <family val="2"/>
        <charset val="204"/>
        <scheme val="minor"/>
      </rPr>
      <t>450 мм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левый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theme="1"/>
        <rFont val="Calibri"/>
        <family val="2"/>
        <charset val="204"/>
        <scheme val="minor"/>
      </rPr>
      <t>белый</t>
    </r>
  </si>
  <si>
    <r>
      <t>усиленный кронштейн</t>
    </r>
    <r>
      <rPr>
        <b/>
        <sz val="10"/>
        <color theme="1"/>
        <rFont val="Calibri"/>
        <family val="2"/>
        <charset val="204"/>
        <scheme val="minor"/>
      </rPr>
      <t xml:space="preserve"> 450 мм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левый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theme="1"/>
        <rFont val="Calibri"/>
        <family val="2"/>
        <charset val="204"/>
        <scheme val="minor"/>
      </rPr>
      <t>RAL</t>
    </r>
  </si>
  <si>
    <t xml:space="preserve">                       Усиленный кронштейн 450 мм</t>
  </si>
  <si>
    <t xml:space="preserve">                                    Усиленный кронштейн 450 мм</t>
  </si>
  <si>
    <t>Материал:</t>
  </si>
  <si>
    <t>S-Stone</t>
  </si>
  <si>
    <t>S-Sense</t>
  </si>
  <si>
    <t>-</t>
  </si>
  <si>
    <t>РРЦ RAL</t>
  </si>
  <si>
    <t>s-sense</t>
  </si>
  <si>
    <t>,</t>
  </si>
  <si>
    <t>только в S-Stone</t>
  </si>
  <si>
    <r>
      <t xml:space="preserve">Раковины NINFEA 02, ARMONIA ROUND/SQUARE 02, ARMONIA ROUND/SQUARE TOP 02 </t>
    </r>
    <r>
      <rPr>
        <sz val="9"/>
        <rFont val="Calibri"/>
        <family val="2"/>
        <charset val="204"/>
        <scheme val="minor"/>
      </rPr>
      <t>комплектуются хромированным выпуском D503 при выборе любого цвета</t>
    </r>
    <r>
      <rPr>
        <sz val="8.5"/>
        <rFont val="Calibri"/>
        <family val="2"/>
        <charset val="204"/>
        <scheme val="minor"/>
      </rPr>
      <t xml:space="preserve"> ДК</t>
    </r>
  </si>
  <si>
    <r>
      <t xml:space="preserve">по умолчанию встраиваемые раковины подклеиваются снизу </t>
    </r>
    <r>
      <rPr>
        <sz val="10"/>
        <color rgb="FFFF0000"/>
        <rFont val="Calibri"/>
        <family val="2"/>
        <charset val="204"/>
        <scheme val="minor"/>
      </rPr>
      <t>с нависанием столешницы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rgb="FFFF0000"/>
        <rFont val="Calibri"/>
        <family val="2"/>
        <charset val="204"/>
        <scheme val="minor"/>
      </rPr>
      <t>(кроме Marea 1,2,3, Greca)</t>
    </r>
  </si>
  <si>
    <t>Ограничения размеров ONDA PLUS</t>
  </si>
  <si>
    <t>Ограничения размеров ONDA EDGE, FLOW</t>
  </si>
  <si>
    <r>
      <rPr>
        <b/>
        <sz val="10"/>
        <rFont val="Calibri"/>
        <family val="2"/>
        <charset val="204"/>
        <scheme val="minor"/>
      </rPr>
      <t xml:space="preserve">Стоимость 1 выреза для полотенца любого выбранного размера - 16 800 руб. </t>
    </r>
    <r>
      <rPr>
        <sz val="9"/>
        <rFont val="Calibri"/>
        <family val="2"/>
        <charset val="204"/>
        <scheme val="minor"/>
      </rPr>
      <t xml:space="preserve">
1) Возможно изготовление до 2-х вырезов во фронтальном и 1 вырез в боковых фартуках раковины/столешницы 
2) Минимальное расстояние между вырезами для полотенца, а также от любого края фартука до выреза составляет 40 мм 
</t>
    </r>
    <r>
      <rPr>
        <b/>
        <sz val="9"/>
        <rFont val="Calibri"/>
        <family val="2"/>
        <charset val="204"/>
        <scheme val="minor"/>
      </rPr>
      <t>3) Обязательно приложите чертеж с указанием расстояния до выреза от нижнего и бокового краев фартука</t>
    </r>
  </si>
  <si>
    <r>
      <t xml:space="preserve">1) При длине столешницы от 1800 мм и/или установленном фартуке - обрешетка обязательна и включена в стоимость.
2) При длине столешницы менее 1800 мм без установленного фартука по желанию можно выбрать опцию транспортировочной обрешетки. </t>
    </r>
    <r>
      <rPr>
        <b/>
        <sz val="10"/>
        <rFont val="Calibri"/>
        <family val="2"/>
        <charset val="204"/>
        <scheme val="minor"/>
      </rPr>
      <t>Стоимость 2100 руб.</t>
    </r>
    <r>
      <rPr>
        <sz val="10"/>
        <rFont val="Calibri"/>
        <family val="2"/>
        <charset val="204"/>
        <scheme val="minor"/>
      </rPr>
      <t xml:space="preserve">						</t>
    </r>
  </si>
  <si>
    <t>ДК для мареа</t>
  </si>
  <si>
    <r>
      <t xml:space="preserve">для  встраиваемых раковин доступна опция </t>
    </r>
    <r>
      <rPr>
        <sz val="10"/>
        <rFont val="Calibri"/>
        <family val="2"/>
        <charset val="204"/>
        <scheme val="minor"/>
      </rPr>
      <t xml:space="preserve">интеграции в столешницу </t>
    </r>
    <r>
      <rPr>
        <sz val="10"/>
        <color rgb="FFFF0000"/>
        <rFont val="Calibri"/>
        <family val="2"/>
        <charset val="204"/>
        <scheme val="minor"/>
      </rPr>
      <t>без нависания</t>
    </r>
    <r>
      <rPr>
        <sz val="10"/>
        <color theme="1"/>
        <rFont val="Calibri"/>
        <family val="2"/>
        <charset val="204"/>
        <scheme val="minor"/>
      </rPr>
      <t xml:space="preserve">, в один уровень, </t>
    </r>
    <r>
      <rPr>
        <b/>
        <sz val="10"/>
        <color theme="1"/>
        <rFont val="Calibri"/>
        <family val="2"/>
        <charset val="204"/>
        <scheme val="minor"/>
      </rPr>
      <t>9500р.</t>
    </r>
    <r>
      <rPr>
        <sz val="10"/>
        <color rgb="FFFF0000"/>
        <rFont val="Calibri"/>
        <family val="2"/>
        <charset val="204"/>
        <scheme val="minor"/>
      </rPr>
      <t xml:space="preserve"> (кроме Marea 1,2,3, 11, 12, Greca)</t>
    </r>
  </si>
  <si>
    <r>
      <t xml:space="preserve">1) При длине столешницы от 1800 мм и/или установленном фартуке - обрешетка обязательна и включена в стоимость.
2) При длине столешницы менее 1800 мм без установленного фартука по желанию можно выбрать опцию 
транспортировочной обрешетки. 
</t>
    </r>
    <r>
      <rPr>
        <b/>
        <sz val="11"/>
        <rFont val="Calibri"/>
        <family val="2"/>
        <charset val="204"/>
        <scheme val="minor"/>
      </rPr>
      <t xml:space="preserve">Стоимость 2100 руб.	</t>
    </r>
    <r>
      <rPr>
        <sz val="11"/>
        <rFont val="Calibri"/>
        <family val="2"/>
        <charset val="204"/>
        <scheme val="minor"/>
      </rPr>
      <t xml:space="preserve">					</t>
    </r>
  </si>
  <si>
    <t>Базовая комплектация раковин со сливом-переливом. Опция бесплатная.</t>
  </si>
  <si>
    <r>
      <rPr>
        <b/>
        <sz val="10"/>
        <rFont val="Calibri"/>
        <family val="2"/>
        <charset val="204"/>
        <scheme val="minor"/>
      </rPr>
      <t xml:space="preserve">Стоимость 1 выреза под полотенце любого выбранного размера - 16 800 руб. </t>
    </r>
    <r>
      <rPr>
        <sz val="10"/>
        <rFont val="Calibri"/>
        <family val="2"/>
        <charset val="204"/>
        <scheme val="minor"/>
      </rPr>
      <t xml:space="preserve">
1) Возможно изготовление до 2-х вырезов во фронтальном и 1 вырез  в боковых фартуках раковины/столешницы 2) Минимальное расстояние между вырезами под полотенце, а также от любого края фартука до выреза составляет 40 мм 3) Обязательно приложите чертеж с указанием расстояния до выреза от нижнего и бокового краев фартука</t>
    </r>
  </si>
  <si>
    <t>Базовая комплектация раковин со сливом-переливом.
Опция бесплатная.</t>
  </si>
  <si>
    <r>
      <t xml:space="preserve">1) При длине столешницы от 1800 мм и/или установленном фартуке - обрешетка обязательна и включена в стоимость.
2) При длине столешницы менее 1800 мм без установленного фартука по желанию можно выбрать опцию транспортировочной обрешетки. 
</t>
    </r>
    <r>
      <rPr>
        <b/>
        <sz val="11"/>
        <rFont val="Calibri"/>
        <family val="2"/>
        <charset val="204"/>
        <scheme val="minor"/>
      </rPr>
      <t xml:space="preserve">Стоимость 2100 руб.	</t>
    </r>
    <r>
      <rPr>
        <sz val="11"/>
        <rFont val="Calibri"/>
        <family val="2"/>
        <charset val="204"/>
        <scheme val="minor"/>
      </rPr>
      <t xml:space="preserve">				</t>
    </r>
  </si>
  <si>
    <t>Ограничения размеров ONDA PLUS 72</t>
  </si>
  <si>
    <t>Ограничения размеров ONDA FLOW OVAL / ROUND 72</t>
  </si>
  <si>
    <t>Списки</t>
  </si>
  <si>
    <t>Кол-во</t>
  </si>
  <si>
    <t>слева</t>
  </si>
  <si>
    <t>справа</t>
  </si>
  <si>
    <t>Ширина полки</t>
  </si>
  <si>
    <r>
      <t xml:space="preserve">Модуль с открытыой полкой </t>
    </r>
    <r>
      <rPr>
        <b/>
        <sz val="10"/>
        <color theme="1"/>
        <rFont val="Calibri"/>
        <family val="2"/>
        <charset val="204"/>
        <scheme val="minor"/>
      </rPr>
      <t>слева</t>
    </r>
  </si>
  <si>
    <r>
      <t xml:space="preserve">Модуль с открытыой полкой </t>
    </r>
    <r>
      <rPr>
        <b/>
        <sz val="10"/>
        <color theme="1"/>
        <rFont val="Calibri"/>
        <family val="2"/>
        <charset val="204"/>
        <scheme val="minor"/>
      </rPr>
      <t>справа</t>
    </r>
  </si>
  <si>
    <t>ONDA EDGE</t>
  </si>
  <si>
    <t>ONDA FLOW</t>
  </si>
  <si>
    <t>ДОПОЛНИТЕЛЬНЫЕ ОПЦИИ ДЛЯ СТОЛЕШНИЦЫ</t>
  </si>
  <si>
    <t>РАСЧЕТ СТОИМОСТИ РАКОВИНЫ ONDA EDGE / FLOW 72</t>
  </si>
  <si>
    <r>
      <t xml:space="preserve">Можно сделать индивидуальный обрез столешницы, в том числе, не прямыми линиями, для этого приложите схему. Фартук можно изготовить только на прямом срезе. 
</t>
    </r>
    <r>
      <rPr>
        <b/>
        <sz val="11"/>
        <color rgb="FFFF0000"/>
        <rFont val="Calibri"/>
        <family val="2"/>
        <charset val="204"/>
        <scheme val="minor"/>
      </rPr>
      <t>Рекомендованный размер задней полочки для установки 
смесителя - 100 мм.</t>
    </r>
  </si>
  <si>
    <r>
      <t xml:space="preserve">Можно сделать индивидуальный обрез столешницы, в том числе, не прямыми линиями, для этого приложите схему. Фартук можно изготовить только на прямом срезе. </t>
    </r>
    <r>
      <rPr>
        <b/>
        <sz val="11"/>
        <color rgb="FFFF0000"/>
        <rFont val="Calibri"/>
        <family val="2"/>
        <charset val="204"/>
        <scheme val="minor"/>
      </rPr>
      <t>Рекомендованный размер задней полочки для установки смесителя - 100 мм.</t>
    </r>
  </si>
  <si>
    <t>Минимальный размер полки (от чаши до края столешницы) для установки кронштейна – 84 мм</t>
  </si>
  <si>
    <t>Минимальное расстояние от чаши до края столешницы для установки фартука – 25 мм</t>
  </si>
  <si>
    <r>
      <t xml:space="preserve">размер чаши ONDA PLUS 72 - 680x340 мм, ONDA FLOW OVAL / ROUND 72 - 720x360 мм, минимальная обрезка столешницы от краев чаши +20 мм, </t>
    </r>
    <r>
      <rPr>
        <sz val="10"/>
        <color rgb="FFFF0000"/>
        <rFont val="Calibri"/>
        <family val="2"/>
        <charset val="204"/>
        <scheme val="minor"/>
      </rPr>
      <t>ниже ограничения размеров в зависимости от выбора чаши</t>
    </r>
    <r>
      <rPr>
        <sz val="10"/>
        <rFont val="Calibri"/>
        <family val="2"/>
        <charset val="204"/>
        <scheme val="minor"/>
      </rPr>
      <t xml:space="preserve">. </t>
    </r>
    <r>
      <rPr>
        <b/>
        <sz val="10"/>
        <color rgb="FFFF0000"/>
        <rFont val="Calibri"/>
        <family val="2"/>
        <charset val="204"/>
        <scheme val="minor"/>
      </rPr>
      <t>Рекомендованный размер задней полочки для установки смесителя 100 мм.</t>
    </r>
  </si>
  <si>
    <t>открытый модуль без фартука</t>
  </si>
  <si>
    <t>открытый модуль с фартуком по центру</t>
  </si>
  <si>
    <r>
      <rPr>
        <b/>
        <sz val="10"/>
        <color rgb="FFFF0000"/>
        <rFont val="Calibri"/>
        <family val="2"/>
        <charset val="204"/>
        <scheme val="minor"/>
      </rPr>
      <t xml:space="preserve">Минимальная глубина полки для установки смесителя 100 мм. </t>
    </r>
    <r>
      <rPr>
        <sz val="10"/>
        <rFont val="Calibri"/>
        <family val="2"/>
        <charset val="204"/>
        <scheme val="minor"/>
      </rPr>
      <t xml:space="preserve">
</t>
    </r>
    <r>
      <rPr>
        <b/>
        <sz val="10"/>
        <rFont val="Calibri"/>
        <family val="2"/>
        <charset val="204"/>
        <scheme val="minor"/>
      </rPr>
      <t>Изготовление отверстий под смеситель - бесплатно.</t>
    </r>
  </si>
  <si>
    <t>от 200 до 400 мм</t>
  </si>
  <si>
    <t>Положение полок</t>
  </si>
  <si>
    <t>Выберите размер, количество и положение модулей c открытыми полками</t>
  </si>
  <si>
    <t>по центру</t>
  </si>
  <si>
    <r>
      <t xml:space="preserve">Модуль с открытыой полкой </t>
    </r>
    <r>
      <rPr>
        <b/>
        <sz val="10"/>
        <color theme="1"/>
        <rFont val="Calibri"/>
        <family val="2"/>
        <charset val="204"/>
        <scheme val="minor"/>
      </rPr>
      <t>по центру</t>
    </r>
  </si>
  <si>
    <t>Блок №1</t>
  </si>
  <si>
    <t>Блок №2</t>
  </si>
  <si>
    <t>Блок №3</t>
  </si>
  <si>
    <t>Итого, руб.</t>
  </si>
  <si>
    <t xml:space="preserve">     открытый модуль без фартука </t>
  </si>
  <si>
    <t xml:space="preserve">открытый модуль с фартуком  </t>
  </si>
  <si>
    <t>Впишите ширину модулей с открытой полкой согласно схеме размещения, в мм</t>
  </si>
  <si>
    <t>Впишите высоту модулей</t>
  </si>
  <si>
    <r>
      <rPr>
        <b/>
        <sz val="10"/>
        <rFont val="Calibri"/>
        <family val="2"/>
        <charset val="204"/>
        <scheme val="minor"/>
      </rPr>
      <t xml:space="preserve">Стоимость 1 выреза под полотенце любого выбранного размера - 16 800 руб. </t>
    </r>
    <r>
      <rPr>
        <sz val="10"/>
        <rFont val="Calibri"/>
        <family val="2"/>
        <charset val="204"/>
        <scheme val="minor"/>
      </rPr>
      <t xml:space="preserve">
1) Возможно изготовление до 2-х вырезов во фронтальном и 1 вырез  в боковых фартуках раковины/столешницы 
2) Минимальное расстояние между вырезами под полотенце, а также от любого края фартука до выреза составляет 40 мм 
3) Обязательно приложите чертеж с указанием расстояния до выреза от нижнего и бокового краев фартука</t>
    </r>
  </si>
  <si>
    <r>
      <rPr>
        <b/>
        <sz val="9"/>
        <rFont val="Calibri"/>
        <family val="2"/>
        <charset val="204"/>
        <scheme val="minor"/>
      </rPr>
      <t xml:space="preserve">Стоимость 1 модуля с открытой полкой любой* ширины – 25 000 руб. </t>
    </r>
    <r>
      <rPr>
        <sz val="9"/>
        <rFont val="Calibri"/>
        <family val="2"/>
        <charset val="204"/>
        <scheme val="minor"/>
      </rPr>
      <t xml:space="preserve">
1) *Модуль с открытой полкой может быть шириной от 200 до 1000 мм
2) *Модуль с открытой полкой может быть высотой от 200 до 400 мм, высота модуля равна высоте фронтального фартука
3) Для встраиваемых и полувстраиваемых раковин, а также раковин ONDA: минимальный отступ от края раковины до модуля с открытой полкой (справа/слева) должен быть не менее 80 мм
4) Рекомендуемое максимальное расстояние между кронштейнами 600 мм
</t>
    </r>
    <r>
      <rPr>
        <b/>
        <sz val="9"/>
        <color rgb="FFFF0000"/>
        <rFont val="Calibri"/>
        <family val="2"/>
        <charset val="204"/>
        <scheme val="minor"/>
      </rPr>
      <t>5) При заказе раковины/столешницы с модулями с открытыми полками обязательно прикладывайте чертеж</t>
    </r>
  </si>
  <si>
    <r>
      <rPr>
        <b/>
        <sz val="10"/>
        <rFont val="Calibri"/>
        <family val="2"/>
        <charset val="204"/>
        <scheme val="minor"/>
      </rPr>
      <t xml:space="preserve">Стоимость 1 модуля с открытой полкой любой* ширины – 25 000 руб. </t>
    </r>
    <r>
      <rPr>
        <sz val="10"/>
        <rFont val="Calibri"/>
        <family val="2"/>
        <charset val="204"/>
        <scheme val="minor"/>
      </rPr>
      <t xml:space="preserve">
1) *Модуль с открытой полкой может быть шириной от 200 до 1000 мм
2) *Модуль с открытой полкой может быть высотой от 200 до 400 мм, высота модуля равна высоте фронтального фартука
3) Для встраиваемых и полувстраиваемых раковин, а также раковин ONDA: минимальный отступ от края раковины до модуля с открытой полкой (справа/слева) должен быть не менее 80 мм
4) Рекомендуемое максимальное расстояние между кронштейнами 600 мм
</t>
    </r>
    <r>
      <rPr>
        <b/>
        <sz val="10"/>
        <color rgb="FFFF0000"/>
        <rFont val="Calibri"/>
        <family val="2"/>
        <charset val="204"/>
        <scheme val="minor"/>
      </rPr>
      <t>5) При заказе раковины/столешницы с модулями с открытыми полками обязательно прикладывайте чертеж</t>
    </r>
  </si>
  <si>
    <t>Открытый модуль с фартуком по центру</t>
  </si>
  <si>
    <t>Открытый модуль без фартука</t>
  </si>
  <si>
    <t xml:space="preserve">                      открытый модуль с фартуком</t>
  </si>
  <si>
    <t>Минимальная глубина полки для установки смесителя - 100 мм</t>
  </si>
  <si>
    <t>ORIENTE BOWL глянцевая</t>
  </si>
  <si>
    <t>ORIENTE BOWL матовая</t>
  </si>
  <si>
    <t>Материал</t>
  </si>
  <si>
    <t>Обозначения ячеек:</t>
  </si>
  <si>
    <t>Столешница</t>
  </si>
  <si>
    <t>Встраиваемая раковина</t>
  </si>
  <si>
    <r>
      <t xml:space="preserve">кронштейн 400 мм, </t>
    </r>
    <r>
      <rPr>
        <b/>
        <sz val="9"/>
        <color theme="1"/>
        <rFont val="Calibri Light"/>
        <family val="2"/>
        <charset val="204"/>
        <scheme val="major"/>
      </rPr>
      <t>белый</t>
    </r>
  </si>
  <si>
    <r>
      <t xml:space="preserve">кронштейн 400 мм, </t>
    </r>
    <r>
      <rPr>
        <b/>
        <sz val="9"/>
        <color theme="1"/>
        <rFont val="Calibri Light"/>
        <family val="2"/>
        <charset val="204"/>
        <scheme val="major"/>
      </rPr>
      <t>RAL</t>
    </r>
  </si>
  <si>
    <r>
      <t xml:space="preserve">усиленный кронштейн </t>
    </r>
    <r>
      <rPr>
        <b/>
        <sz val="9"/>
        <color theme="1"/>
        <rFont val="Calibri Light"/>
        <family val="2"/>
        <charset val="204"/>
        <scheme val="major"/>
      </rPr>
      <t>правый</t>
    </r>
    <r>
      <rPr>
        <sz val="9"/>
        <color theme="1"/>
        <rFont val="Calibri Light"/>
        <family val="2"/>
        <charset val="204"/>
        <scheme val="major"/>
      </rPr>
      <t xml:space="preserve">, </t>
    </r>
    <r>
      <rPr>
        <b/>
        <sz val="9"/>
        <color theme="1"/>
        <rFont val="Calibri Light"/>
        <family val="2"/>
        <charset val="204"/>
        <scheme val="major"/>
      </rPr>
      <t>белый</t>
    </r>
  </si>
  <si>
    <r>
      <t xml:space="preserve">усиленный кронштейн </t>
    </r>
    <r>
      <rPr>
        <b/>
        <sz val="9"/>
        <color theme="1"/>
        <rFont val="Calibri Light"/>
        <family val="2"/>
        <charset val="204"/>
        <scheme val="major"/>
      </rPr>
      <t>правый</t>
    </r>
    <r>
      <rPr>
        <sz val="9"/>
        <color theme="1"/>
        <rFont val="Calibri Light"/>
        <family val="2"/>
        <charset val="204"/>
        <scheme val="major"/>
      </rPr>
      <t xml:space="preserve">, </t>
    </r>
    <r>
      <rPr>
        <b/>
        <sz val="9"/>
        <color theme="1"/>
        <rFont val="Calibri Light"/>
        <family val="2"/>
        <charset val="204"/>
        <scheme val="major"/>
      </rPr>
      <t>RAL</t>
    </r>
  </si>
  <si>
    <r>
      <t xml:space="preserve">усиленный кронштейн </t>
    </r>
    <r>
      <rPr>
        <b/>
        <sz val="9"/>
        <color theme="1"/>
        <rFont val="Calibri Light"/>
        <family val="2"/>
        <charset val="204"/>
        <scheme val="major"/>
      </rPr>
      <t>левый</t>
    </r>
    <r>
      <rPr>
        <sz val="9"/>
        <color theme="1"/>
        <rFont val="Calibri Light"/>
        <family val="2"/>
        <charset val="204"/>
        <scheme val="major"/>
      </rPr>
      <t xml:space="preserve">, </t>
    </r>
    <r>
      <rPr>
        <b/>
        <sz val="9"/>
        <color theme="1"/>
        <rFont val="Calibri Light"/>
        <family val="2"/>
        <charset val="204"/>
        <scheme val="major"/>
      </rPr>
      <t>белый</t>
    </r>
  </si>
  <si>
    <r>
      <t xml:space="preserve">усиленный кронштейн </t>
    </r>
    <r>
      <rPr>
        <b/>
        <sz val="9"/>
        <color theme="1"/>
        <rFont val="Calibri Light"/>
        <family val="2"/>
        <charset val="204"/>
        <scheme val="major"/>
      </rPr>
      <t>левый</t>
    </r>
    <r>
      <rPr>
        <sz val="9"/>
        <color theme="1"/>
        <rFont val="Calibri Light"/>
        <family val="2"/>
        <charset val="204"/>
        <scheme val="major"/>
      </rPr>
      <t xml:space="preserve">, </t>
    </r>
    <r>
      <rPr>
        <b/>
        <sz val="9"/>
        <color theme="1"/>
        <rFont val="Calibri Light"/>
        <family val="2"/>
        <charset val="204"/>
        <scheme val="major"/>
      </rPr>
      <t>RAL</t>
    </r>
  </si>
  <si>
    <t>только в S-Sense</t>
  </si>
  <si>
    <r>
      <t xml:space="preserve">Выберите </t>
    </r>
    <r>
      <rPr>
        <b/>
        <sz val="11"/>
        <color rgb="FFFF0000"/>
        <rFont val="Calibri"/>
        <family val="2"/>
        <charset val="204"/>
        <scheme val="minor"/>
      </rPr>
      <t>накладную / полувстраиваемую</t>
    </r>
    <r>
      <rPr>
        <b/>
        <sz val="11"/>
        <color theme="1"/>
        <rFont val="Calibri"/>
        <family val="2"/>
        <charset val="204"/>
        <scheme val="minor"/>
      </rPr>
      <t xml:space="preserve"> раковину </t>
    </r>
  </si>
  <si>
    <r>
      <t xml:space="preserve">Выберите </t>
    </r>
    <r>
      <rPr>
        <b/>
        <sz val="11"/>
        <color rgb="FFFF0000"/>
        <rFont val="Calibri"/>
        <family val="2"/>
        <charset val="204"/>
        <scheme val="minor"/>
      </rPr>
      <t>встраиваемую</t>
    </r>
    <r>
      <rPr>
        <b/>
        <sz val="11"/>
        <color theme="1"/>
        <rFont val="Calibri"/>
        <family val="2"/>
        <charset val="204"/>
        <scheme val="minor"/>
      </rPr>
      <t xml:space="preserve"> раковину </t>
    </r>
  </si>
  <si>
    <t>Впишите стоимость столешницы из вкладки ЦЕНЫ</t>
  </si>
  <si>
    <t>Фронтальный внешний бортик</t>
  </si>
  <si>
    <t>Задний 
внешний бортик</t>
  </si>
  <si>
    <t>Боковой левый
внешний бортик</t>
  </si>
  <si>
    <t>Боковой правый
внешний бортик</t>
  </si>
  <si>
    <t>Впишите длину внешнего бортика (L), мм</t>
  </si>
  <si>
    <t>Впишите высоту внешнего бортика (H), мм</t>
  </si>
  <si>
    <t>Впишите цвет внешнего бортика по RAL, по умолчанию белый</t>
  </si>
  <si>
    <t>Вес внешнего бортика, кг (считается автоматически)</t>
  </si>
  <si>
    <t>Бортики-разделители</t>
  </si>
  <si>
    <t>Впишите длину бортика-разделителя (L), мм</t>
  </si>
  <si>
    <t>Впишите высоту бортика-разделителя (H), мм</t>
  </si>
  <si>
    <t>Впишите количество бортиков-разделителей</t>
  </si>
  <si>
    <t>Общий вес бортиков-разделителей, кг (считается автоматически)</t>
  </si>
  <si>
    <t>Впишите цвет бортика-разделителя по RAL, по умолчанию белый</t>
  </si>
  <si>
    <t>Впишите стоимость из таблицы цен</t>
  </si>
  <si>
    <t>Стоимость столешницы с накладной / полувстраиваемой раковиной</t>
  </si>
  <si>
    <t>Фронтальный 
внешний бортик</t>
  </si>
  <si>
    <t>Задний внешний бортик</t>
  </si>
  <si>
    <t>Боковой левый внешний бортик</t>
  </si>
  <si>
    <t>Боковой правый внешний бортик</t>
  </si>
  <si>
    <t>Бортик-разделитель</t>
  </si>
  <si>
    <t>Модуль с открытыой полкой слева</t>
  </si>
  <si>
    <t>Модуль с открытыой полкой справа</t>
  </si>
  <si>
    <t>Модуль с открытыой полкой по центру</t>
  </si>
  <si>
    <t>RAL</t>
  </si>
  <si>
    <t>Встраиваемая раковина 1</t>
  </si>
  <si>
    <t>Встраиваемая раковина 2</t>
  </si>
  <si>
    <t>Встраиваемая раковина 3</t>
  </si>
  <si>
    <t>Накладная / полувстраиваемая раковина 1</t>
  </si>
  <si>
    <t>Накладная / полувстраиваемая раковина 2</t>
  </si>
  <si>
    <t>Накладная / полувстраиваемая раковина 3</t>
  </si>
  <si>
    <t>Вес изделия, нетто, кг</t>
  </si>
  <si>
    <r>
      <rPr>
        <b/>
        <sz val="10"/>
        <color rgb="FFFF0000"/>
        <rFont val="Calibri"/>
        <family val="2"/>
        <charset val="204"/>
        <scheme val="minor"/>
      </rPr>
      <t xml:space="preserve">Минимальная глубина полки для установки смесителя 100 мм. </t>
    </r>
    <r>
      <rPr>
        <sz val="10"/>
        <color rgb="FFFF0000"/>
        <rFont val="Calibri"/>
        <family val="2"/>
        <charset val="204"/>
        <scheme val="minor"/>
      </rPr>
      <t xml:space="preserve">
</t>
    </r>
    <r>
      <rPr>
        <b/>
        <sz val="10"/>
        <color rgb="FFFF0000"/>
        <rFont val="Calibri"/>
        <family val="2"/>
        <charset val="204"/>
        <scheme val="minor"/>
      </rPr>
      <t>Изготовление отверстий под смеситель - бесплатно.</t>
    </r>
  </si>
  <si>
    <t>Стоимость столешницы со встраиваемой раковиной</t>
  </si>
  <si>
    <r>
      <t xml:space="preserve">для  встраиваемых раковин доступна опция </t>
    </r>
    <r>
      <rPr>
        <sz val="9"/>
        <rFont val="Calibri"/>
        <family val="2"/>
        <charset val="204"/>
        <scheme val="minor"/>
      </rPr>
      <t xml:space="preserve">интеграции в столешницу </t>
    </r>
    <r>
      <rPr>
        <sz val="9"/>
        <color rgb="FFFF0000"/>
        <rFont val="Calibri"/>
        <family val="2"/>
        <charset val="204"/>
        <scheme val="minor"/>
      </rPr>
      <t>без нависания</t>
    </r>
    <r>
      <rPr>
        <sz val="9"/>
        <color theme="1"/>
        <rFont val="Calibri"/>
        <family val="2"/>
        <charset val="204"/>
        <scheme val="minor"/>
      </rPr>
      <t xml:space="preserve">, в один уровень, </t>
    </r>
    <r>
      <rPr>
        <b/>
        <sz val="9"/>
        <color theme="1"/>
        <rFont val="Calibri"/>
        <family val="2"/>
        <charset val="204"/>
        <scheme val="minor"/>
      </rPr>
      <t>9500р.</t>
    </r>
  </si>
  <si>
    <r>
      <t xml:space="preserve">по умолчанию встраиваемые раковины подклеиваются снизу </t>
    </r>
    <r>
      <rPr>
        <sz val="9"/>
        <color rgb="FFFF0000"/>
        <rFont val="Calibri"/>
        <family val="2"/>
        <charset val="204"/>
        <scheme val="minor"/>
      </rPr>
      <t>с нависанием столешницы</t>
    </r>
  </si>
  <si>
    <t xml:space="preserve">вклейка накладной раковины в столешницу      </t>
  </si>
  <si>
    <r>
      <t xml:space="preserve">1) При длине столешницы от 1800 мм и/или установленном фартуке или бортике – обрешетка обязательна и включена в стоимость.
2) При длине столешницы менее 1800 мм без установленного фартука или бортика по желанию можно выбрать опцию транспортировочной обрешетки. 
</t>
    </r>
    <r>
      <rPr>
        <b/>
        <sz val="10"/>
        <rFont val="Calibri"/>
        <family val="2"/>
        <charset val="204"/>
        <scheme val="minor"/>
      </rPr>
      <t>Стоимость 2100 руб.</t>
    </r>
    <r>
      <rPr>
        <sz val="10"/>
        <rFont val="Calibri"/>
        <family val="2"/>
        <charset val="204"/>
        <scheme val="minor"/>
      </rPr>
      <t xml:space="preserve">						</t>
    </r>
  </si>
  <si>
    <r>
      <t xml:space="preserve">размер чаши ONDA FLOW/EDGE- 520x360 мм, ONDA PLUS - 500x340 мм, ONDA PLUS 72 - 680x340 мм, ONDA FLOW OVAL / ROUND 72 - 720x360 ммминимальная обрезка столешницы от краев чаши +20 мм, </t>
    </r>
    <r>
      <rPr>
        <sz val="10"/>
        <color rgb="FFFF0000"/>
        <rFont val="Calibri"/>
        <family val="2"/>
        <charset val="204"/>
        <scheme val="minor"/>
      </rPr>
      <t>ниже ограничения размеров в зависимости от выбора чаши</t>
    </r>
  </si>
  <si>
    <t>Рекомендованный размер задней полочки для установки смесителя 100 мм</t>
  </si>
  <si>
    <t>Базовая комплектация раковин со сливом-переливом. Опция бесплатная</t>
  </si>
  <si>
    <t>16 ММ</t>
  </si>
  <si>
    <t>10 ММ</t>
  </si>
  <si>
    <r>
      <t xml:space="preserve">1) При длине столешницы от 1800 мм и/или 
установленном фартуке - обрешетка обязательна 
и включена в стоимость.
2) При длине столешницы менее 1800 мм без 
установленного фартука по желанию можно 
выбрать опцию транспортировочной обрешетки. 
</t>
    </r>
    <r>
      <rPr>
        <b/>
        <sz val="11"/>
        <rFont val="Calibri"/>
        <family val="2"/>
        <charset val="204"/>
        <scheme val="minor"/>
      </rPr>
      <t xml:space="preserve">Стоимость 2100 руб.	</t>
    </r>
    <r>
      <rPr>
        <sz val="11"/>
        <rFont val="Calibri"/>
        <family val="2"/>
        <charset val="204"/>
        <scheme val="minor"/>
      </rPr>
      <t xml:space="preserve">					</t>
    </r>
  </si>
  <si>
    <t>По умолчанию мы расположим их симметрично относительно первой, или приложите схему</t>
  </si>
  <si>
    <t>ИЗГОТОВЛЕНИЕ БОРТИКОВ ДЛЯ СТОЛЕШНИЦЫ</t>
  </si>
  <si>
    <t>Раковина ONDA, цвет белый*</t>
  </si>
  <si>
    <t>Раковина ONDA 72, цвет белый*</t>
  </si>
  <si>
    <t>701-749</t>
  </si>
  <si>
    <t>750-799</t>
  </si>
  <si>
    <t>800-849</t>
  </si>
  <si>
    <t>850-899</t>
  </si>
  <si>
    <t>900-949</t>
  </si>
  <si>
    <t>950-1000</t>
  </si>
  <si>
    <t>3001 - 3099</t>
  </si>
  <si>
    <t>3100 - 3199</t>
  </si>
  <si>
    <t>3200 - 3299</t>
  </si>
  <si>
    <t>3300 - 3399</t>
  </si>
  <si>
    <t>3400 - 3499</t>
  </si>
  <si>
    <t>3500 - 3600</t>
  </si>
  <si>
    <t>* Наценка к РРЦ на полную покраску изделия из материала S-Sense в цвет по палитре Salini RAL Classic</t>
  </si>
  <si>
    <t>+ 30%</t>
  </si>
  <si>
    <t>Транспортировка и установка раковин ONDA и столешниц COSTA шириной (L) от 3000 мм и / или глубиной (D) от 700 мм, 
а также фартуков  шириной (L) от 3000 мм согласовывается индивидуально с менеджером.
**Транспортировка и установка бортиков для раковин ONDA и столешниц COSTA шириной (L) от 3000 мм и / или высотой (H) от 100 мм согласовывается индивидуально с менеджером.</t>
  </si>
  <si>
    <t>* Наценка к РРЦ на полную покраску изделия из материала S-Stone в цвет по палитре Salini RAL Classic</t>
  </si>
  <si>
    <t>+ 50%</t>
  </si>
  <si>
    <t>ВНЕШНИЙ БОРТИК / БОРТИК-РАЗДЕЛИТЕЛЬ**</t>
  </si>
  <si>
    <t>Столешница COSTA, цвет белый*</t>
  </si>
  <si>
    <t>Фартук для COSTA и ONDA, цвет белый*</t>
  </si>
  <si>
    <t>Бортик для COSTA и ONDA, цвет белый*</t>
  </si>
  <si>
    <t>H (высота бортика), мм</t>
  </si>
  <si>
    <t>401-500</t>
  </si>
  <si>
    <t>L (ширина бортика), мм</t>
  </si>
  <si>
    <t>до  499</t>
  </si>
  <si>
    <t xml:space="preserve"> открытый модуль с фартуком</t>
  </si>
  <si>
    <t>все остальные</t>
  </si>
  <si>
    <t>кг</t>
  </si>
  <si>
    <t>толщ столешницы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</si>
</sst>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₽&quot;_-;\-* #,##0.00\ &quot;₽&quot;_-;_-* &quot;-&quot;??\ &quot;₽&quot;_-;_-@_-"/>
    <numFmt numFmtId="164" formatCode="#,##0_ ;\-#,##0\ "/>
    <numFmt numFmtId="165" formatCode="_-* #,##0\ [$₽-419]_-;\-* #,##0\ [$₽-419]_-;_-* &quot;-&quot;??\ [$₽-419]_-;_-@_-"/>
    <numFmt numFmtId="166" formatCode="0_ ;\-0\ "/>
    <numFmt numFmtId="167" formatCode="_-* #,##0\ &quot;₽&quot;_-;\-* #,##0\ &quot;₽&quot;_-;_-* &quot;-&quot;??\ &quot;₽&quot;_-;_-@_-"/>
    <numFmt numFmtId="168" formatCode="#,##0.0"/>
    <numFmt numFmtId="169" formatCode="#,##0\ &quot;₽&quot;"/>
    <numFmt numFmtId="170" formatCode="0.0"/>
  </numFmts>
  <fonts count="78" x14ac:knownFonts="1">
    <font>
      <sz val="11"/>
      <color theme="1"/>
      <name val="Calibri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DIN Pro Cond Light"/>
      <family val="2"/>
      <charset val="204"/>
    </font>
    <font>
      <sz val="10"/>
      <color theme="1"/>
      <name val="DIN Pro Cond Bold"/>
      <family val="2"/>
      <charset val="204"/>
    </font>
    <font>
      <sz val="10"/>
      <color theme="1"/>
      <name val="DIN Pro Regular"/>
      <family val="2"/>
      <charset val="204"/>
    </font>
    <font>
      <sz val="10"/>
      <color theme="0"/>
      <name val="DIN Pro Cond Bold"/>
      <family val="2"/>
      <charset val="204"/>
    </font>
    <font>
      <b/>
      <sz val="16"/>
      <color theme="0"/>
      <name val="DIN Pro Cond Bold"/>
      <family val="2"/>
      <charset val="204"/>
    </font>
    <font>
      <sz val="26"/>
      <color theme="0"/>
      <name val="DIN Pro Cond Bold"/>
      <family val="2"/>
      <charset val="204"/>
    </font>
    <font>
      <b/>
      <sz val="10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1"/>
      <color rgb="FF01343B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DIN Pro Regular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0"/>
      <color indexed="2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sz val="8.5"/>
      <name val="Calibri"/>
      <family val="2"/>
      <charset val="204"/>
      <scheme val="minor"/>
    </font>
    <font>
      <sz val="9"/>
      <color theme="1"/>
      <name val="Calibri Light"/>
      <family val="2"/>
      <charset val="204"/>
      <scheme val="major"/>
    </font>
    <font>
      <sz val="8"/>
      <color rgb="FFFF0000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9"/>
      <color theme="1"/>
      <name val="Calibri Light"/>
      <family val="2"/>
      <charset val="204"/>
      <scheme val="major"/>
    </font>
    <font>
      <sz val="9"/>
      <color rgb="FFFF0000"/>
      <name val="Calibri Light"/>
      <family val="2"/>
      <charset val="204"/>
      <scheme val="major"/>
    </font>
    <font>
      <sz val="9"/>
      <color rgb="FF000000"/>
      <name val="Calibri Light"/>
      <family val="2"/>
      <charset val="204"/>
      <scheme val="major"/>
    </font>
    <font>
      <sz val="9"/>
      <name val="Calibri Light"/>
      <family val="2"/>
      <charset val="204"/>
      <scheme val="major"/>
    </font>
    <font>
      <b/>
      <sz val="10"/>
      <color rgb="FFFFFF00"/>
      <name val="Calibri"/>
      <family val="2"/>
      <charset val="204"/>
      <scheme val="minor"/>
    </font>
    <font>
      <b/>
      <sz val="14"/>
      <color theme="0"/>
      <name val="DIN Pro Cond Bold"/>
      <family val="2"/>
      <charset val="204"/>
    </font>
    <font>
      <sz val="14"/>
      <color theme="0"/>
      <name val="DIN Pro Cond Bold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1343B"/>
        <bgColor indexed="64"/>
      </patternFill>
    </fill>
    <fill>
      <patternFill patternType="solid">
        <fgColor rgb="FFB46D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2" tint="-9.9978637043366805E-2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theme="0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4" fontId="52" fillId="0" borderId="0" applyFont="0" applyFill="0" applyBorder="0" applyAlignment="0" applyProtection="0"/>
  </cellStyleXfs>
  <cellXfs count="804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24" fillId="3" borderId="1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/>
    <xf numFmtId="0" fontId="0" fillId="4" borderId="0" xfId="0" applyFill="1" applyAlignment="1" applyProtection="1">
      <alignment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30" fillId="0" borderId="0" xfId="0" applyFont="1" applyAlignment="1">
      <alignment vertical="center"/>
    </xf>
    <xf numFmtId="0" fontId="0" fillId="4" borderId="6" xfId="0" applyFill="1" applyBorder="1" applyAlignment="1" applyProtection="1">
      <alignment vertical="center"/>
      <protection hidden="1"/>
    </xf>
    <xf numFmtId="0" fontId="0" fillId="4" borderId="5" xfId="0" applyFill="1" applyBorder="1" applyAlignment="1" applyProtection="1">
      <alignment vertical="center"/>
      <protection hidden="1"/>
    </xf>
    <xf numFmtId="0" fontId="0" fillId="4" borderId="17" xfId="0" applyFill="1" applyBorder="1" applyAlignment="1" applyProtection="1">
      <alignment vertical="center"/>
      <protection hidden="1"/>
    </xf>
    <xf numFmtId="0" fontId="0" fillId="4" borderId="7" xfId="0" applyFill="1" applyBorder="1" applyAlignment="1" applyProtection="1">
      <alignment vertical="center"/>
      <protection hidden="1"/>
    </xf>
    <xf numFmtId="0" fontId="0" fillId="4" borderId="8" xfId="0" applyFill="1" applyBorder="1" applyAlignment="1" applyProtection="1">
      <alignment vertical="center"/>
      <protection hidden="1"/>
    </xf>
    <xf numFmtId="0" fontId="24" fillId="3" borderId="20" xfId="0" applyFont="1" applyFill="1" applyBorder="1" applyAlignment="1" applyProtection="1">
      <alignment horizontal="center" vertical="center" wrapText="1"/>
      <protection hidden="1"/>
    </xf>
    <xf numFmtId="0" fontId="28" fillId="5" borderId="20" xfId="0" applyFont="1" applyFill="1" applyBorder="1" applyAlignment="1" applyProtection="1">
      <alignment horizontal="center" vertical="center" wrapText="1"/>
      <protection hidden="1"/>
    </xf>
    <xf numFmtId="0" fontId="24" fillId="2" borderId="20" xfId="0" applyFont="1" applyFill="1" applyBorder="1" applyAlignment="1" applyProtection="1">
      <alignment horizontal="center" vertical="center"/>
      <protection locked="0" hidden="1"/>
    </xf>
    <xf numFmtId="0" fontId="36" fillId="3" borderId="1" xfId="0" applyFont="1" applyFill="1" applyBorder="1" applyAlignment="1" applyProtection="1">
      <alignment horizontal="center" vertical="center" wrapText="1"/>
      <protection hidden="1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27" fillId="11" borderId="14" xfId="0" applyFont="1" applyFill="1" applyBorder="1" applyAlignment="1" applyProtection="1">
      <alignment horizontal="center" vertical="center"/>
      <protection hidden="1"/>
    </xf>
    <xf numFmtId="0" fontId="22" fillId="3" borderId="1" xfId="0" applyFont="1" applyFill="1" applyBorder="1" applyAlignment="1" applyProtection="1">
      <alignment horizontal="center" vertical="center"/>
      <protection hidden="1"/>
    </xf>
    <xf numFmtId="0" fontId="0" fillId="14" borderId="1" xfId="0" applyFill="1" applyBorder="1" applyAlignment="1" applyProtection="1">
      <alignment horizontal="center" vertical="center"/>
      <protection locked="0" hidden="1"/>
    </xf>
    <xf numFmtId="3" fontId="37" fillId="15" borderId="1" xfId="0" applyNumberFormat="1" applyFont="1" applyFill="1" applyBorder="1" applyAlignment="1" applyProtection="1">
      <alignment horizontal="center" vertical="center"/>
      <protection locked="0"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24" fillId="6" borderId="1" xfId="0" applyFont="1" applyFill="1" applyBorder="1" applyAlignment="1" applyProtection="1">
      <alignment horizontal="center"/>
      <protection hidden="1"/>
    </xf>
    <xf numFmtId="0" fontId="0" fillId="4" borderId="11" xfId="0" applyFill="1" applyBorder="1" applyAlignment="1" applyProtection="1">
      <alignment vertical="center"/>
      <protection hidden="1"/>
    </xf>
    <xf numFmtId="0" fontId="19" fillId="4" borderId="5" xfId="0" applyFont="1" applyFill="1" applyBorder="1" applyAlignment="1" applyProtection="1">
      <alignment vertical="center"/>
      <protection hidden="1"/>
    </xf>
    <xf numFmtId="0" fontId="19" fillId="4" borderId="6" xfId="0" applyFont="1" applyFill="1" applyBorder="1" applyAlignment="1" applyProtection="1">
      <alignment vertical="center"/>
      <protection hidden="1"/>
    </xf>
    <xf numFmtId="0" fontId="26" fillId="4" borderId="20" xfId="0" applyFont="1" applyFill="1" applyBorder="1" applyAlignment="1" applyProtection="1">
      <alignment vertical="center" wrapText="1"/>
      <protection hidden="1"/>
    </xf>
    <xf numFmtId="0" fontId="19" fillId="6" borderId="1" xfId="0" applyFont="1" applyFill="1" applyBorder="1" applyAlignment="1" applyProtection="1">
      <alignment vertical="center"/>
      <protection hidden="1"/>
    </xf>
    <xf numFmtId="0" fontId="19" fillId="14" borderId="1" xfId="0" applyFont="1" applyFill="1" applyBorder="1" applyAlignment="1" applyProtection="1">
      <alignment vertical="center"/>
      <protection hidden="1"/>
    </xf>
    <xf numFmtId="0" fontId="19" fillId="4" borderId="1" xfId="0" applyFont="1" applyFill="1" applyBorder="1" applyAlignment="1" applyProtection="1">
      <alignment vertical="center"/>
      <protection hidden="1"/>
    </xf>
    <xf numFmtId="0" fontId="24" fillId="16" borderId="6" xfId="0" applyFont="1" applyFill="1" applyBorder="1" applyAlignment="1" applyProtection="1">
      <alignment horizontal="center" vertical="center" wrapText="1"/>
      <protection hidden="1"/>
    </xf>
    <xf numFmtId="0" fontId="18" fillId="4" borderId="6" xfId="0" applyFont="1" applyFill="1" applyBorder="1" applyAlignment="1" applyProtection="1">
      <alignment horizontal="center" vertical="center"/>
      <protection hidden="1"/>
    </xf>
    <xf numFmtId="0" fontId="0" fillId="16" borderId="6" xfId="0" applyFill="1" applyBorder="1" applyAlignment="1" applyProtection="1">
      <alignment horizontal="center" vertical="center"/>
      <protection hidden="1"/>
    </xf>
    <xf numFmtId="166" fontId="26" fillId="4" borderId="6" xfId="0" applyNumberFormat="1" applyFont="1" applyFill="1" applyBorder="1" applyAlignment="1" applyProtection="1">
      <alignment horizontal="center" vertical="center"/>
      <protection hidden="1"/>
    </xf>
    <xf numFmtId="0" fontId="30" fillId="4" borderId="6" xfId="0" applyFont="1" applyFill="1" applyBorder="1" applyAlignment="1" applyProtection="1">
      <alignment horizontal="center" vertical="center" wrapText="1"/>
      <protection hidden="1"/>
    </xf>
    <xf numFmtId="0" fontId="34" fillId="14" borderId="1" xfId="0" applyFont="1" applyFill="1" applyBorder="1" applyAlignment="1" applyProtection="1">
      <alignment horizontal="center" vertical="center"/>
      <protection locked="0" hidden="1"/>
    </xf>
    <xf numFmtId="4" fontId="34" fillId="6" borderId="1" xfId="0" applyNumberFormat="1" applyFont="1" applyFill="1" applyBorder="1" applyAlignment="1" applyProtection="1">
      <alignment horizontal="center" vertical="center"/>
      <protection hidden="1"/>
    </xf>
    <xf numFmtId="0" fontId="32" fillId="4" borderId="1" xfId="0" applyFont="1" applyFill="1" applyBorder="1" applyAlignment="1" applyProtection="1">
      <alignment horizontal="center" vertical="center" wrapText="1"/>
      <protection hidden="1"/>
    </xf>
    <xf numFmtId="0" fontId="32" fillId="2" borderId="1" xfId="0" applyFont="1" applyFill="1" applyBorder="1" applyAlignment="1" applyProtection="1">
      <alignment horizontal="center" vertical="center" wrapText="1"/>
      <protection hidden="1"/>
    </xf>
    <xf numFmtId="0" fontId="24" fillId="16" borderId="5" xfId="0" applyFont="1" applyFill="1" applyBorder="1" applyAlignment="1" applyProtection="1">
      <alignment horizontal="center" vertical="center" wrapText="1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18" fillId="4" borderId="5" xfId="0" applyFont="1" applyFill="1" applyBorder="1" applyAlignment="1" applyProtection="1">
      <alignment horizontal="center" vertical="center"/>
      <protection hidden="1"/>
    </xf>
    <xf numFmtId="0" fontId="0" fillId="16" borderId="5" xfId="0" applyFill="1" applyBorder="1" applyAlignment="1" applyProtection="1">
      <alignment horizontal="center" vertical="center"/>
      <protection hidden="1"/>
    </xf>
    <xf numFmtId="166" fontId="26" fillId="4" borderId="5" xfId="0" applyNumberFormat="1" applyFont="1" applyFill="1" applyBorder="1" applyAlignment="1" applyProtection="1">
      <alignment horizontal="center" vertical="center"/>
      <protection hidden="1"/>
    </xf>
    <xf numFmtId="0" fontId="30" fillId="4" borderId="5" xfId="0" applyFont="1" applyFill="1" applyBorder="1" applyAlignment="1" applyProtection="1">
      <alignment horizontal="center" vertical="center" wrapText="1"/>
      <protection hidden="1"/>
    </xf>
    <xf numFmtId="167" fontId="24" fillId="6" borderId="1" xfId="1" applyNumberFormat="1" applyFont="1" applyFill="1" applyBorder="1" applyAlignment="1" applyProtection="1">
      <alignment horizontal="center"/>
      <protection hidden="1"/>
    </xf>
    <xf numFmtId="0" fontId="18" fillId="3" borderId="1" xfId="0" applyFont="1" applyFill="1" applyBorder="1" applyAlignment="1" applyProtection="1">
      <alignment horizontal="center" vertical="center" wrapText="1"/>
      <protection hidden="1"/>
    </xf>
    <xf numFmtId="0" fontId="18" fillId="3" borderId="1" xfId="0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 applyProtection="1">
      <alignment vertical="center"/>
      <protection hidden="1"/>
    </xf>
    <xf numFmtId="0" fontId="0" fillId="4" borderId="14" xfId="0" applyFill="1" applyBorder="1" applyAlignment="1" applyProtection="1">
      <alignment vertical="center"/>
      <protection hidden="1"/>
    </xf>
    <xf numFmtId="0" fontId="29" fillId="3" borderId="1" xfId="0" applyFont="1" applyFill="1" applyBorder="1" applyAlignment="1" applyProtection="1">
      <alignment horizontal="center" vertical="center"/>
      <protection hidden="1"/>
    </xf>
    <xf numFmtId="4" fontId="26" fillId="3" borderId="1" xfId="0" applyNumberFormat="1" applyFont="1" applyFill="1" applyBorder="1" applyAlignment="1" applyProtection="1">
      <alignment horizontal="center" vertical="center"/>
      <protection hidden="1"/>
    </xf>
    <xf numFmtId="0" fontId="49" fillId="0" borderId="0" xfId="0" applyFont="1" applyAlignment="1">
      <alignment horizontal="center" vertical="center"/>
    </xf>
    <xf numFmtId="3" fontId="54" fillId="0" borderId="0" xfId="0" applyNumberFormat="1" applyFont="1" applyAlignment="1">
      <alignment vertical="center"/>
    </xf>
    <xf numFmtId="3" fontId="42" fillId="0" borderId="0" xfId="0" applyNumberFormat="1" applyFont="1" applyAlignment="1">
      <alignment vertical="center"/>
    </xf>
    <xf numFmtId="0" fontId="35" fillId="4" borderId="6" xfId="0" applyFont="1" applyFill="1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4" borderId="6" xfId="0" applyFill="1" applyBorder="1" applyAlignment="1" applyProtection="1">
      <alignment vertical="center"/>
      <protection locked="0"/>
    </xf>
    <xf numFmtId="0" fontId="0" fillId="14" borderId="1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vertical="center"/>
      <protection locked="0"/>
    </xf>
    <xf numFmtId="0" fontId="30" fillId="0" borderId="1" xfId="0" applyFont="1" applyBorder="1" applyAlignment="1" applyProtection="1">
      <alignment vertical="center"/>
      <protection locked="0"/>
    </xf>
    <xf numFmtId="0" fontId="38" fillId="0" borderId="1" xfId="0" applyFont="1" applyBorder="1" applyAlignment="1" applyProtection="1">
      <alignment vertical="center"/>
      <protection locked="0"/>
    </xf>
    <xf numFmtId="0" fontId="30" fillId="15" borderId="1" xfId="0" applyFont="1" applyFill="1" applyBorder="1" applyAlignment="1" applyProtection="1">
      <alignment vertical="center"/>
      <protection locked="0"/>
    </xf>
    <xf numFmtId="0" fontId="24" fillId="2" borderId="6" xfId="0" applyFont="1" applyFill="1" applyBorder="1" applyAlignment="1" applyProtection="1">
      <alignment vertical="center" wrapText="1"/>
      <protection locked="0"/>
    </xf>
    <xf numFmtId="0" fontId="29" fillId="4" borderId="6" xfId="0" applyFont="1" applyFill="1" applyBorder="1" applyAlignment="1" applyProtection="1">
      <alignment vertical="center"/>
      <protection locked="0"/>
    </xf>
    <xf numFmtId="0" fontId="35" fillId="4" borderId="6" xfId="0" applyFont="1" applyFill="1" applyBorder="1" applyAlignment="1" applyProtection="1">
      <alignment vertical="center" wrapText="1"/>
      <protection locked="0"/>
    </xf>
    <xf numFmtId="0" fontId="30" fillId="15" borderId="12" xfId="0" applyFont="1" applyFill="1" applyBorder="1" applyAlignment="1" applyProtection="1">
      <alignment vertical="center"/>
      <protection locked="0"/>
    </xf>
    <xf numFmtId="0" fontId="34" fillId="4" borderId="5" xfId="0" applyFont="1" applyFill="1" applyBorder="1" applyAlignment="1" applyProtection="1">
      <alignment vertical="center"/>
      <protection locked="0"/>
    </xf>
    <xf numFmtId="0" fontId="0" fillId="4" borderId="17" xfId="0" applyFill="1" applyBorder="1" applyAlignment="1" applyProtection="1">
      <alignment vertical="center"/>
      <protection locked="0"/>
    </xf>
    <xf numFmtId="0" fontId="0" fillId="4" borderId="7" xfId="0" applyFill="1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vertical="center"/>
      <protection locked="0"/>
    </xf>
    <xf numFmtId="0" fontId="24" fillId="2" borderId="6" xfId="0" applyFont="1" applyFill="1" applyBorder="1" applyAlignment="1" applyProtection="1">
      <alignment vertical="center"/>
      <protection locked="0"/>
    </xf>
    <xf numFmtId="0" fontId="30" fillId="14" borderId="1" xfId="0" applyFont="1" applyFill="1" applyBorder="1" applyAlignment="1" applyProtection="1">
      <alignment horizontal="center" vertical="center"/>
      <protection locked="0"/>
    </xf>
    <xf numFmtId="3" fontId="30" fillId="17" borderId="1" xfId="0" applyNumberFormat="1" applyFont="1" applyFill="1" applyBorder="1" applyAlignment="1" applyProtection="1">
      <alignment horizontal="center" vertical="center" wrapText="1"/>
      <protection hidden="1"/>
    </xf>
    <xf numFmtId="165" fontId="0" fillId="3" borderId="1" xfId="0" applyNumberFormat="1" applyFill="1" applyBorder="1" applyAlignment="1" applyProtection="1">
      <alignment vertical="center"/>
      <protection hidden="1"/>
    </xf>
    <xf numFmtId="0" fontId="38" fillId="0" borderId="11" xfId="0" applyFont="1" applyBorder="1" applyAlignment="1" applyProtection="1">
      <alignment vertical="top" wrapText="1"/>
      <protection hidden="1"/>
    </xf>
    <xf numFmtId="3" fontId="30" fillId="12" borderId="1" xfId="0" applyNumberFormat="1" applyFont="1" applyFill="1" applyBorder="1" applyAlignment="1" applyProtection="1">
      <alignment horizontal="center" vertical="center"/>
      <protection hidden="1"/>
    </xf>
    <xf numFmtId="0" fontId="38" fillId="4" borderId="6" xfId="0" applyFont="1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center" vertical="center" wrapText="1"/>
      <protection hidden="1"/>
    </xf>
    <xf numFmtId="4" fontId="0" fillId="3" borderId="19" xfId="0" applyNumberFormat="1" applyFill="1" applyBorder="1" applyAlignment="1" applyProtection="1">
      <alignment horizontal="left" vertical="center"/>
      <protection hidden="1"/>
    </xf>
    <xf numFmtId="0" fontId="29" fillId="4" borderId="0" xfId="0" applyFont="1" applyFill="1" applyAlignment="1" applyProtection="1">
      <alignment vertical="center"/>
      <protection locked="0"/>
    </xf>
    <xf numFmtId="0" fontId="38" fillId="4" borderId="0" xfId="0" applyFont="1" applyFill="1" applyAlignment="1" applyProtection="1">
      <alignment horizontal="left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38" fillId="4" borderId="0" xfId="0" applyFont="1" applyFill="1" applyAlignment="1" applyProtection="1">
      <alignment vertical="center"/>
      <protection locked="0"/>
    </xf>
    <xf numFmtId="169" fontId="5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0" xfId="0" applyFont="1" applyFill="1" applyAlignment="1" applyProtection="1">
      <alignment vertical="center"/>
      <protection locked="0"/>
    </xf>
    <xf numFmtId="0" fontId="34" fillId="4" borderId="0" xfId="0" applyFont="1" applyFill="1" applyAlignment="1" applyProtection="1">
      <alignment horizontal="center" vertical="center"/>
      <protection locked="0"/>
    </xf>
    <xf numFmtId="0" fontId="16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34" fillId="4" borderId="0" xfId="0" applyFont="1" applyFill="1" applyAlignment="1" applyProtection="1">
      <alignment horizontal="center"/>
      <protection locked="0"/>
    </xf>
    <xf numFmtId="0" fontId="34" fillId="4" borderId="0" xfId="0" applyFont="1" applyFill="1" applyProtection="1"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0" fillId="4" borderId="0" xfId="0" applyFont="1" applyFill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 wrapText="1"/>
      <protection locked="0"/>
    </xf>
    <xf numFmtId="0" fontId="24" fillId="4" borderId="0" xfId="0" applyFont="1" applyFill="1" applyAlignment="1" applyProtection="1">
      <alignment vertical="center" wrapText="1"/>
      <protection locked="0"/>
    </xf>
    <xf numFmtId="0" fontId="34" fillId="0" borderId="5" xfId="0" applyFont="1" applyBorder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34" fillId="4" borderId="5" xfId="0" applyFont="1" applyFill="1" applyBorder="1" applyAlignment="1" applyProtection="1">
      <alignment horizontal="center"/>
      <protection locked="0"/>
    </xf>
    <xf numFmtId="0" fontId="30" fillId="12" borderId="1" xfId="0" applyFont="1" applyFill="1" applyBorder="1" applyAlignment="1" applyProtection="1">
      <alignment horizontal="center" vertical="center"/>
      <protection hidden="1"/>
    </xf>
    <xf numFmtId="165" fontId="30" fillId="12" borderId="28" xfId="0" applyNumberFormat="1" applyFont="1" applyFill="1" applyBorder="1" applyAlignment="1" applyProtection="1">
      <alignment horizontal="center" vertical="center"/>
      <protection hidden="1"/>
    </xf>
    <xf numFmtId="0" fontId="30" fillId="12" borderId="1" xfId="0" applyFont="1" applyFill="1" applyBorder="1" applyAlignment="1" applyProtection="1">
      <alignment horizontal="center" vertical="center" wrapText="1"/>
      <protection hidden="1"/>
    </xf>
    <xf numFmtId="2" fontId="30" fillId="12" borderId="1" xfId="0" applyNumberFormat="1" applyFont="1" applyFill="1" applyBorder="1" applyAlignment="1" applyProtection="1">
      <alignment horizontal="center" vertical="center"/>
      <protection hidden="1"/>
    </xf>
    <xf numFmtId="164" fontId="30" fillId="12" borderId="1" xfId="0" applyNumberFormat="1" applyFont="1" applyFill="1" applyBorder="1" applyAlignment="1" applyProtection="1">
      <alignment horizontal="center" vertical="center"/>
      <protection hidden="1"/>
    </xf>
    <xf numFmtId="1" fontId="30" fillId="12" borderId="1" xfId="0" applyNumberFormat="1" applyFont="1" applyFill="1" applyBorder="1" applyAlignment="1" applyProtection="1">
      <alignment horizontal="center" vertical="center"/>
      <protection hidden="1"/>
    </xf>
    <xf numFmtId="0" fontId="33" fillId="4" borderId="0" xfId="0" applyFont="1" applyFill="1" applyAlignment="1" applyProtection="1">
      <alignment vertical="top" wrapText="1"/>
      <protection hidden="1"/>
    </xf>
    <xf numFmtId="0" fontId="33" fillId="4" borderId="7" xfId="0" applyFont="1" applyFill="1" applyBorder="1" applyAlignment="1" applyProtection="1">
      <alignment vertical="top" wrapText="1"/>
      <protection hidden="1"/>
    </xf>
    <xf numFmtId="0" fontId="33" fillId="4" borderId="6" xfId="0" applyFont="1" applyFill="1" applyBorder="1" applyAlignment="1" applyProtection="1">
      <alignment horizontal="left" vertical="center" wrapText="1"/>
      <protection locked="0"/>
    </xf>
    <xf numFmtId="0" fontId="33" fillId="4" borderId="0" xfId="0" applyFont="1" applyFill="1" applyAlignment="1" applyProtection="1">
      <alignment horizontal="left" vertical="center" wrapText="1"/>
      <protection locked="0"/>
    </xf>
    <xf numFmtId="1" fontId="38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3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0" xfId="0" applyFont="1" applyFill="1" applyAlignment="1" applyProtection="1">
      <alignment horizontal="center" vertical="center"/>
      <protection hidden="1"/>
    </xf>
    <xf numFmtId="0" fontId="21" fillId="4" borderId="0" xfId="0" applyFont="1" applyFill="1" applyAlignment="1" applyProtection="1">
      <alignment vertical="center" wrapText="1"/>
      <protection hidden="1"/>
    </xf>
    <xf numFmtId="0" fontId="34" fillId="4" borderId="0" xfId="0" applyFont="1" applyFill="1" applyAlignment="1" applyProtection="1">
      <alignment vertical="center"/>
      <protection hidden="1"/>
    </xf>
    <xf numFmtId="0" fontId="24" fillId="4" borderId="0" xfId="0" applyFont="1" applyFill="1" applyAlignment="1" applyProtection="1">
      <alignment vertical="center" wrapText="1"/>
      <protection hidden="1"/>
    </xf>
    <xf numFmtId="0" fontId="26" fillId="4" borderId="0" xfId="0" applyFont="1" applyFill="1" applyAlignment="1" applyProtection="1">
      <alignment vertical="center" wrapText="1"/>
      <protection hidden="1"/>
    </xf>
    <xf numFmtId="0" fontId="35" fillId="4" borderId="0" xfId="0" applyFont="1" applyFill="1" applyAlignment="1" applyProtection="1">
      <alignment vertical="center" wrapText="1"/>
      <protection hidden="1"/>
    </xf>
    <xf numFmtId="0" fontId="0" fillId="4" borderId="15" xfId="0" applyFill="1" applyBorder="1" applyAlignment="1" applyProtection="1">
      <alignment vertical="center"/>
      <protection hidden="1"/>
    </xf>
    <xf numFmtId="0" fontId="33" fillId="4" borderId="15" xfId="0" applyFont="1" applyFill="1" applyBorder="1" applyAlignment="1" applyProtection="1">
      <alignment horizontal="center" vertical="top"/>
      <protection hidden="1"/>
    </xf>
    <xf numFmtId="0" fontId="24" fillId="4" borderId="5" xfId="0" applyFont="1" applyFill="1" applyBorder="1" applyAlignment="1" applyProtection="1">
      <alignment vertical="center" wrapText="1"/>
      <protection hidden="1"/>
    </xf>
    <xf numFmtId="0" fontId="55" fillId="4" borderId="11" xfId="0" applyFont="1" applyFill="1" applyBorder="1" applyAlignment="1" applyProtection="1">
      <alignment vertical="center" wrapText="1"/>
      <protection locked="0"/>
    </xf>
    <xf numFmtId="0" fontId="55" fillId="4" borderId="0" xfId="0" applyFont="1" applyFill="1" applyAlignment="1" applyProtection="1">
      <alignment vertical="center" wrapText="1"/>
      <protection locked="0"/>
    </xf>
    <xf numFmtId="0" fontId="0" fillId="14" borderId="12" xfId="0" applyFill="1" applyBorder="1" applyAlignment="1" applyProtection="1">
      <alignment horizontal="center" vertical="center"/>
      <protection locked="0" hidden="1"/>
    </xf>
    <xf numFmtId="0" fontId="30" fillId="4" borderId="0" xfId="0" applyFont="1" applyFill="1" applyAlignment="1" applyProtection="1">
      <alignment horizontal="center" vertical="center"/>
      <protection hidden="1"/>
    </xf>
    <xf numFmtId="0" fontId="30" fillId="4" borderId="0" xfId="0" applyFont="1" applyFill="1" applyAlignment="1" applyProtection="1">
      <alignment vertical="center" wrapText="1"/>
      <protection hidden="1"/>
    </xf>
    <xf numFmtId="0" fontId="18" fillId="3" borderId="20" xfId="0" applyFont="1" applyFill="1" applyBorder="1" applyAlignment="1" applyProtection="1">
      <alignment horizontal="center" vertical="center"/>
      <protection hidden="1"/>
    </xf>
    <xf numFmtId="0" fontId="17" fillId="4" borderId="5" xfId="0" applyFont="1" applyFill="1" applyBorder="1" applyAlignment="1" applyProtection="1">
      <alignment vertical="center" wrapText="1"/>
      <protection hidden="1"/>
    </xf>
    <xf numFmtId="0" fontId="17" fillId="4" borderId="0" xfId="0" applyFont="1" applyFill="1" applyAlignment="1" applyProtection="1">
      <alignment vertical="center" wrapText="1"/>
      <protection hidden="1"/>
    </xf>
    <xf numFmtId="0" fontId="33" fillId="4" borderId="6" xfId="0" applyFont="1" applyFill="1" applyBorder="1" applyAlignment="1" applyProtection="1">
      <alignment vertical="center" wrapText="1"/>
      <protection locked="0"/>
    </xf>
    <xf numFmtId="0" fontId="27" fillId="4" borderId="0" xfId="0" applyFont="1" applyFill="1" applyProtection="1">
      <protection hidden="1"/>
    </xf>
    <xf numFmtId="0" fontId="30" fillId="3" borderId="1" xfId="0" applyFont="1" applyFill="1" applyBorder="1" applyAlignment="1" applyProtection="1">
      <alignment horizontal="center" vertical="center"/>
      <protection hidden="1"/>
    </xf>
    <xf numFmtId="0" fontId="28" fillId="4" borderId="1" xfId="0" applyFont="1" applyFill="1" applyBorder="1" applyAlignment="1" applyProtection="1">
      <alignment horizontal="center" vertical="center"/>
      <protection locked="0" hidden="1"/>
    </xf>
    <xf numFmtId="166" fontId="36" fillId="6" borderId="1" xfId="0" applyNumberFormat="1" applyFont="1" applyFill="1" applyBorder="1" applyAlignment="1" applyProtection="1">
      <alignment horizontal="center" vertical="center"/>
      <protection hidden="1"/>
    </xf>
    <xf numFmtId="169" fontId="3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5" fillId="4" borderId="17" xfId="0" applyFont="1" applyFill="1" applyBorder="1" applyAlignment="1" applyProtection="1">
      <alignment vertical="top" wrapText="1"/>
      <protection locked="0"/>
    </xf>
    <xf numFmtId="0" fontId="55" fillId="4" borderId="7" xfId="0" applyFont="1" applyFill="1" applyBorder="1" applyAlignment="1" applyProtection="1">
      <alignment vertical="top" wrapText="1"/>
      <protection locked="0"/>
    </xf>
    <xf numFmtId="0" fontId="30" fillId="3" borderId="20" xfId="0" applyFont="1" applyFill="1" applyBorder="1" applyAlignment="1" applyProtection="1">
      <alignment horizontal="center" vertical="center"/>
      <protection hidden="1"/>
    </xf>
    <xf numFmtId="1" fontId="30" fillId="14" borderId="1" xfId="0" applyNumberFormat="1" applyFont="1" applyFill="1" applyBorder="1" applyAlignment="1" applyProtection="1">
      <alignment horizontal="center" vertical="center"/>
      <protection locked="0"/>
    </xf>
    <xf numFmtId="0" fontId="60" fillId="4" borderId="0" xfId="0" applyFont="1" applyFill="1" applyAlignment="1" applyProtection="1">
      <alignment vertical="center" wrapText="1"/>
      <protection locked="0"/>
    </xf>
    <xf numFmtId="0" fontId="60" fillId="4" borderId="6" xfId="0" applyFont="1" applyFill="1" applyBorder="1" applyAlignment="1" applyProtection="1">
      <alignment vertical="center" wrapText="1"/>
      <protection locked="0"/>
    </xf>
    <xf numFmtId="0" fontId="60" fillId="4" borderId="7" xfId="0" applyFont="1" applyFill="1" applyBorder="1" applyAlignment="1" applyProtection="1">
      <alignment vertical="center" wrapText="1"/>
      <protection locked="0"/>
    </xf>
    <xf numFmtId="0" fontId="60" fillId="4" borderId="8" xfId="0" applyFont="1" applyFill="1" applyBorder="1" applyAlignment="1" applyProtection="1">
      <alignment vertical="center" wrapText="1"/>
      <protection locked="0"/>
    </xf>
    <xf numFmtId="0" fontId="14" fillId="4" borderId="0" xfId="0" applyFont="1" applyFill="1" applyAlignment="1" applyProtection="1">
      <alignment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4" fontId="0" fillId="3" borderId="0" xfId="0" applyNumberFormat="1" applyFill="1" applyAlignment="1" applyProtection="1">
      <alignment horizontal="left" vertical="center"/>
      <protection hidden="1"/>
    </xf>
    <xf numFmtId="0" fontId="24" fillId="3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31" fillId="4" borderId="0" xfId="0" applyFont="1" applyFill="1" applyAlignment="1" applyProtection="1">
      <alignment vertical="center"/>
      <protection locked="0"/>
    </xf>
    <xf numFmtId="0" fontId="0" fillId="14" borderId="0" xfId="0" applyFill="1" applyAlignment="1" applyProtection="1">
      <alignment horizontal="center" vertical="center"/>
      <protection locked="0"/>
    </xf>
    <xf numFmtId="3" fontId="37" fillId="15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51" fillId="14" borderId="0" xfId="0" applyFont="1" applyFill="1" applyAlignment="1" applyProtection="1">
      <alignment horizontal="center" vertical="center" wrapText="1"/>
      <protection locked="0"/>
    </xf>
    <xf numFmtId="0" fontId="38" fillId="4" borderId="0" xfId="0" applyFont="1" applyFill="1" applyAlignment="1" applyProtection="1">
      <alignment vertical="center" wrapText="1"/>
      <protection locked="0"/>
    </xf>
    <xf numFmtId="0" fontId="24" fillId="3" borderId="0" xfId="0" applyFont="1" applyFill="1" applyAlignment="1" applyProtection="1">
      <alignment horizontal="center" vertical="center"/>
      <protection locked="0"/>
    </xf>
    <xf numFmtId="165" fontId="0" fillId="3" borderId="28" xfId="0" applyNumberForma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4" fontId="0" fillId="2" borderId="0" xfId="0" applyNumberFormat="1" applyFill="1" applyAlignment="1" applyProtection="1">
      <alignment horizontal="left" vertical="center"/>
      <protection hidden="1"/>
    </xf>
    <xf numFmtId="4" fontId="0" fillId="0" borderId="0" xfId="0" applyNumberFormat="1" applyAlignment="1" applyProtection="1">
      <alignment horizontal="left" vertical="center"/>
      <protection hidden="1"/>
    </xf>
    <xf numFmtId="0" fontId="38" fillId="0" borderId="0" xfId="0" applyFont="1" applyAlignment="1" applyProtection="1">
      <alignment vertical="top" wrapText="1"/>
      <protection hidden="1"/>
    </xf>
    <xf numFmtId="0" fontId="38" fillId="4" borderId="0" xfId="0" applyFont="1" applyFill="1" applyAlignment="1" applyProtection="1">
      <alignment vertical="top" wrapText="1"/>
      <protection hidden="1"/>
    </xf>
    <xf numFmtId="164" fontId="26" fillId="5" borderId="0" xfId="0" applyNumberFormat="1" applyFont="1" applyFill="1" applyAlignment="1" applyProtection="1">
      <alignment horizontal="center" vertical="center"/>
      <protection hidden="1"/>
    </xf>
    <xf numFmtId="164" fontId="26" fillId="2" borderId="0" xfId="0" applyNumberFormat="1" applyFont="1" applyFill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vertical="center"/>
      <protection hidden="1"/>
    </xf>
    <xf numFmtId="0" fontId="38" fillId="4" borderId="6" xfId="0" applyFont="1" applyFill="1" applyBorder="1" applyAlignment="1" applyProtection="1">
      <alignment vertical="top" wrapText="1"/>
      <protection hidden="1"/>
    </xf>
    <xf numFmtId="0" fontId="0" fillId="4" borderId="6" xfId="0" applyFill="1" applyBorder="1" applyProtection="1">
      <protection locked="0"/>
    </xf>
    <xf numFmtId="2" fontId="30" fillId="12" borderId="26" xfId="0" applyNumberFormat="1" applyFont="1" applyFill="1" applyBorder="1" applyAlignment="1" applyProtection="1">
      <alignment horizontal="center" vertical="center"/>
      <protection hidden="1"/>
    </xf>
    <xf numFmtId="165" fontId="30" fillId="12" borderId="27" xfId="0" applyNumberFormat="1" applyFont="1" applyFill="1" applyBorder="1" applyAlignment="1" applyProtection="1">
      <alignment horizontal="center" vertical="center"/>
      <protection hidden="1"/>
    </xf>
    <xf numFmtId="164" fontId="30" fillId="12" borderId="39" xfId="0" applyNumberFormat="1" applyFont="1" applyFill="1" applyBorder="1" applyAlignment="1" applyProtection="1">
      <alignment horizontal="center" vertical="center"/>
      <protection hidden="1"/>
    </xf>
    <xf numFmtId="165" fontId="30" fillId="12" borderId="40" xfId="0" applyNumberFormat="1" applyFont="1" applyFill="1" applyBorder="1" applyAlignment="1" applyProtection="1">
      <alignment horizontal="center" vertical="center"/>
      <protection hidden="1"/>
    </xf>
    <xf numFmtId="0" fontId="30" fillId="12" borderId="26" xfId="0" applyFont="1" applyFill="1" applyBorder="1" applyAlignment="1" applyProtection="1">
      <alignment horizontal="center" vertical="center"/>
      <protection hidden="1"/>
    </xf>
    <xf numFmtId="0" fontId="30" fillId="12" borderId="39" xfId="0" applyFont="1" applyFill="1" applyBorder="1" applyAlignment="1" applyProtection="1">
      <alignment horizontal="center" vertical="center"/>
      <protection hidden="1"/>
    </xf>
    <xf numFmtId="164" fontId="30" fillId="12" borderId="26" xfId="0" applyNumberFormat="1" applyFont="1" applyFill="1" applyBorder="1" applyAlignment="1" applyProtection="1">
      <alignment horizontal="center" vertical="center"/>
      <protection hidden="1"/>
    </xf>
    <xf numFmtId="0" fontId="30" fillId="12" borderId="45" xfId="0" applyFont="1" applyFill="1" applyBorder="1" applyAlignment="1" applyProtection="1">
      <alignment horizontal="center" vertical="center"/>
      <protection hidden="1"/>
    </xf>
    <xf numFmtId="165" fontId="30" fillId="12" borderId="46" xfId="0" applyNumberFormat="1" applyFont="1" applyFill="1" applyBorder="1" applyAlignment="1" applyProtection="1">
      <alignment horizontal="center" vertical="center"/>
      <protection hidden="1"/>
    </xf>
    <xf numFmtId="1" fontId="30" fillId="12" borderId="26" xfId="0" applyNumberFormat="1" applyFont="1" applyFill="1" applyBorder="1" applyAlignment="1" applyProtection="1">
      <alignment horizontal="center" vertical="center"/>
      <protection hidden="1"/>
    </xf>
    <xf numFmtId="1" fontId="30" fillId="12" borderId="39" xfId="0" applyNumberFormat="1" applyFont="1" applyFill="1" applyBorder="1" applyAlignment="1" applyProtection="1">
      <alignment horizontal="center" vertical="center"/>
      <protection hidden="1"/>
    </xf>
    <xf numFmtId="4" fontId="13" fillId="3" borderId="0" xfId="0" applyNumberFormat="1" applyFont="1" applyFill="1" applyAlignment="1" applyProtection="1">
      <alignment horizontal="left" vertical="center"/>
      <protection hidden="1"/>
    </xf>
    <xf numFmtId="3" fontId="26" fillId="15" borderId="1" xfId="0" applyNumberFormat="1" applyFont="1" applyFill="1" applyBorder="1" applyAlignment="1" applyProtection="1">
      <alignment horizontal="center" vertical="center"/>
      <protection locked="0"/>
    </xf>
    <xf numFmtId="165" fontId="27" fillId="12" borderId="46" xfId="0" applyNumberFormat="1" applyFont="1" applyFill="1" applyBorder="1" applyAlignment="1" applyProtection="1">
      <alignment vertical="center"/>
      <protection hidden="1"/>
    </xf>
    <xf numFmtId="0" fontId="12" fillId="4" borderId="0" xfId="0" applyFont="1" applyFill="1" applyAlignment="1" applyProtection="1">
      <alignment vertical="center"/>
      <protection hidden="1"/>
    </xf>
    <xf numFmtId="0" fontId="12" fillId="4" borderId="19" xfId="0" applyFont="1" applyFill="1" applyBorder="1" applyAlignment="1" applyProtection="1">
      <alignment horizontal="right" vertical="center"/>
      <protection hidden="1"/>
    </xf>
    <xf numFmtId="0" fontId="12" fillId="4" borderId="0" xfId="0" applyFont="1" applyFill="1" applyAlignment="1" applyProtection="1">
      <alignment vertical="top"/>
      <protection hidden="1"/>
    </xf>
    <xf numFmtId="164" fontId="30" fillId="12" borderId="12" xfId="0" applyNumberFormat="1" applyFont="1" applyFill="1" applyBorder="1" applyAlignment="1" applyProtection="1">
      <alignment horizontal="center" vertical="center"/>
      <protection hidden="1"/>
    </xf>
    <xf numFmtId="165" fontId="30" fillId="12" borderId="49" xfId="0" applyNumberFormat="1" applyFont="1" applyFill="1" applyBorder="1" applyAlignment="1" applyProtection="1">
      <alignment horizontal="center" vertical="center"/>
      <protection hidden="1"/>
    </xf>
    <xf numFmtId="0" fontId="30" fillId="12" borderId="50" xfId="0" applyFont="1" applyFill="1" applyBorder="1" applyAlignment="1" applyProtection="1">
      <alignment horizontal="center" vertical="center"/>
      <protection hidden="1"/>
    </xf>
    <xf numFmtId="165" fontId="30" fillId="12" borderId="51" xfId="0" applyNumberFormat="1" applyFont="1" applyFill="1" applyBorder="1" applyAlignment="1" applyProtection="1">
      <alignment horizontal="center" vertical="center"/>
      <protection hidden="1"/>
    </xf>
    <xf numFmtId="165" fontId="0" fillId="16" borderId="28" xfId="0" applyNumberFormat="1" applyFill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locked="0"/>
    </xf>
    <xf numFmtId="165" fontId="11" fillId="16" borderId="28" xfId="0" applyNumberFormat="1" applyFont="1" applyFill="1" applyBorder="1" applyAlignment="1" applyProtection="1">
      <alignment vertical="center"/>
      <protection hidden="1"/>
    </xf>
    <xf numFmtId="165" fontId="0" fillId="3" borderId="28" xfId="0" applyNumberFormat="1" applyFill="1" applyBorder="1" applyAlignment="1" applyProtection="1">
      <alignment horizontal="center" vertical="center"/>
      <protection hidden="1"/>
    </xf>
    <xf numFmtId="0" fontId="28" fillId="3" borderId="12" xfId="0" applyFont="1" applyFill="1" applyBorder="1" applyAlignment="1" applyProtection="1">
      <alignment horizontal="center" vertical="center"/>
      <protection hidden="1"/>
    </xf>
    <xf numFmtId="0" fontId="30" fillId="12" borderId="3" xfId="0" applyFont="1" applyFill="1" applyBorder="1" applyAlignment="1" applyProtection="1">
      <alignment horizontal="left" vertical="center"/>
      <protection hidden="1"/>
    </xf>
    <xf numFmtId="0" fontId="28" fillId="3" borderId="1" xfId="0" applyFont="1" applyFill="1" applyBorder="1" applyAlignment="1" applyProtection="1">
      <alignment horizontal="center" vertical="center" wrapText="1"/>
      <protection hidden="1"/>
    </xf>
    <xf numFmtId="0" fontId="0" fillId="4" borderId="5" xfId="0" applyFill="1" applyBorder="1" applyAlignment="1">
      <alignment vertical="center"/>
    </xf>
    <xf numFmtId="0" fontId="30" fillId="10" borderId="14" xfId="0" applyFont="1" applyFill="1" applyBorder="1" applyAlignment="1">
      <alignment vertical="center"/>
    </xf>
    <xf numFmtId="0" fontId="30" fillId="10" borderId="15" xfId="0" applyFont="1" applyFill="1" applyBorder="1" applyAlignment="1">
      <alignment vertical="center"/>
    </xf>
    <xf numFmtId="0" fontId="30" fillId="10" borderId="41" xfId="0" applyFont="1" applyFill="1" applyBorder="1" applyAlignment="1">
      <alignment vertical="center"/>
    </xf>
    <xf numFmtId="0" fontId="30" fillId="10" borderId="42" xfId="0" applyFont="1" applyFill="1" applyBorder="1" applyAlignment="1">
      <alignment horizontal="center"/>
    </xf>
    <xf numFmtId="0" fontId="30" fillId="10" borderId="43" xfId="0" applyFont="1" applyFill="1" applyBorder="1" applyAlignment="1">
      <alignment horizontal="center"/>
    </xf>
    <xf numFmtId="0" fontId="30" fillId="10" borderId="29" xfId="0" applyFont="1" applyFill="1" applyBorder="1" applyAlignment="1">
      <alignment vertical="center"/>
    </xf>
    <xf numFmtId="0" fontId="30" fillId="10" borderId="22" xfId="0" applyFont="1" applyFill="1" applyBorder="1" applyAlignment="1">
      <alignment vertical="center"/>
    </xf>
    <xf numFmtId="0" fontId="30" fillId="10" borderId="37" xfId="0" applyFont="1" applyFill="1" applyBorder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60" fillId="4" borderId="6" xfId="0" applyFont="1" applyFill="1" applyBorder="1" applyAlignment="1" applyProtection="1">
      <alignment wrapText="1"/>
      <protection hidden="1"/>
    </xf>
    <xf numFmtId="0" fontId="28" fillId="3" borderId="20" xfId="0" applyFont="1" applyFill="1" applyBorder="1" applyAlignment="1" applyProtection="1">
      <alignment vertical="center"/>
      <protection hidden="1"/>
    </xf>
    <xf numFmtId="0" fontId="30" fillId="3" borderId="20" xfId="0" applyFont="1" applyFill="1" applyBorder="1" applyAlignment="1" applyProtection="1">
      <alignment vertical="center"/>
      <protection hidden="1"/>
    </xf>
    <xf numFmtId="0" fontId="30" fillId="5" borderId="20" xfId="0" applyFont="1" applyFill="1" applyBorder="1" applyAlignment="1" applyProtection="1">
      <alignment vertical="center"/>
      <protection hidden="1"/>
    </xf>
    <xf numFmtId="0" fontId="30" fillId="5" borderId="31" xfId="0" applyFont="1" applyFill="1" applyBorder="1" applyAlignment="1" applyProtection="1">
      <alignment vertical="center"/>
      <protection hidden="1"/>
    </xf>
    <xf numFmtId="0" fontId="28" fillId="3" borderId="1" xfId="0" applyFont="1" applyFill="1" applyBorder="1" applyAlignment="1" applyProtection="1">
      <alignment vertical="center"/>
      <protection hidden="1"/>
    </xf>
    <xf numFmtId="0" fontId="30" fillId="3" borderId="1" xfId="0" applyFont="1" applyFill="1" applyBorder="1" applyAlignment="1" applyProtection="1">
      <alignment vertical="center"/>
      <protection hidden="1"/>
    </xf>
    <xf numFmtId="0" fontId="30" fillId="5" borderId="1" xfId="0" applyFont="1" applyFill="1" applyBorder="1" applyAlignment="1" applyProtection="1">
      <alignment vertical="center"/>
      <protection hidden="1"/>
    </xf>
    <xf numFmtId="0" fontId="30" fillId="12" borderId="20" xfId="0" applyFont="1" applyFill="1" applyBorder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34" fillId="4" borderId="0" xfId="0" applyFont="1" applyFill="1" applyAlignment="1" applyProtection="1">
      <alignment horizontal="center"/>
      <protection hidden="1"/>
    </xf>
    <xf numFmtId="0" fontId="33" fillId="4" borderId="0" xfId="0" applyFont="1" applyFill="1" applyAlignment="1" applyProtection="1">
      <alignment vertical="center" wrapText="1"/>
      <protection hidden="1"/>
    </xf>
    <xf numFmtId="4" fontId="38" fillId="4" borderId="1" xfId="0" applyNumberFormat="1" applyFont="1" applyFill="1" applyBorder="1" applyAlignment="1" applyProtection="1">
      <alignment horizontal="center" wrapText="1"/>
      <protection locked="0"/>
    </xf>
    <xf numFmtId="1" fontId="38" fillId="4" borderId="1" xfId="0" applyNumberFormat="1" applyFont="1" applyFill="1" applyBorder="1" applyAlignment="1" applyProtection="1">
      <alignment horizontal="center" wrapText="1"/>
      <protection locked="0"/>
    </xf>
    <xf numFmtId="0" fontId="34" fillId="14" borderId="1" xfId="0" applyFont="1" applyFill="1" applyBorder="1" applyAlignment="1" applyProtection="1">
      <alignment horizontal="center" vertical="center"/>
      <protection locked="0"/>
    </xf>
    <xf numFmtId="0" fontId="34" fillId="4" borderId="11" xfId="0" applyFont="1" applyFill="1" applyBorder="1" applyAlignment="1" applyProtection="1">
      <alignment vertical="center"/>
      <protection locked="0"/>
    </xf>
    <xf numFmtId="0" fontId="34" fillId="4" borderId="33" xfId="0" applyFont="1" applyFill="1" applyBorder="1" applyAlignment="1" applyProtection="1">
      <alignment vertical="center"/>
      <protection locked="0"/>
    </xf>
    <xf numFmtId="0" fontId="34" fillId="4" borderId="52" xfId="0" applyFont="1" applyFill="1" applyBorder="1" applyAlignment="1" applyProtection="1">
      <alignment vertical="center"/>
      <protection locked="0"/>
    </xf>
    <xf numFmtId="0" fontId="65" fillId="4" borderId="0" xfId="0" applyFont="1" applyFill="1" applyAlignment="1" applyProtection="1">
      <alignment wrapText="1"/>
      <protection hidden="1"/>
    </xf>
    <xf numFmtId="0" fontId="26" fillId="16" borderId="0" xfId="0" applyFont="1" applyFill="1" applyAlignment="1" applyProtection="1">
      <alignment horizontal="center" vertical="center"/>
      <protection hidden="1"/>
    </xf>
    <xf numFmtId="4" fontId="64" fillId="16" borderId="0" xfId="0" applyNumberFormat="1" applyFont="1" applyFill="1" applyAlignment="1" applyProtection="1">
      <alignment horizontal="left" vertical="center"/>
      <protection hidden="1"/>
    </xf>
    <xf numFmtId="0" fontId="30" fillId="0" borderId="0" xfId="0" applyFont="1" applyAlignment="1" applyProtection="1">
      <alignment vertical="center"/>
      <protection locked="0"/>
    </xf>
    <xf numFmtId="4" fontId="64" fillId="2" borderId="0" xfId="0" applyNumberFormat="1" applyFont="1" applyFill="1" applyAlignment="1" applyProtection="1">
      <alignment horizontal="left" vertical="center"/>
      <protection hidden="1"/>
    </xf>
    <xf numFmtId="4" fontId="64" fillId="4" borderId="0" xfId="0" applyNumberFormat="1" applyFont="1" applyFill="1" applyAlignment="1" applyProtection="1">
      <alignment horizontal="left" vertical="center"/>
      <protection hidden="1"/>
    </xf>
    <xf numFmtId="0" fontId="60" fillId="4" borderId="5" xfId="0" applyFont="1" applyFill="1" applyBorder="1" applyAlignment="1" applyProtection="1">
      <alignment vertical="center" wrapText="1"/>
      <protection locked="0"/>
    </xf>
    <xf numFmtId="0" fontId="38" fillId="4" borderId="7" xfId="0" applyFont="1" applyFill="1" applyBorder="1" applyAlignment="1" applyProtection="1">
      <alignment horizontal="left" vertical="center"/>
      <protection locked="0"/>
    </xf>
    <xf numFmtId="0" fontId="64" fillId="4" borderId="5" xfId="0" applyFont="1" applyFill="1" applyBorder="1" applyAlignment="1" applyProtection="1">
      <alignment vertical="center"/>
      <protection locked="0"/>
    </xf>
    <xf numFmtId="0" fontId="64" fillId="4" borderId="0" xfId="0" applyFont="1" applyFill="1" applyAlignment="1" applyProtection="1">
      <alignment vertical="center"/>
      <protection locked="0"/>
    </xf>
    <xf numFmtId="0" fontId="30" fillId="12" borderId="22" xfId="0" applyFont="1" applyFill="1" applyBorder="1" applyAlignment="1" applyProtection="1">
      <alignment horizontal="left" vertical="center"/>
      <protection hidden="1"/>
    </xf>
    <xf numFmtId="0" fontId="34" fillId="4" borderId="21" xfId="0" applyFont="1" applyFill="1" applyBorder="1" applyAlignment="1" applyProtection="1">
      <alignment vertical="center"/>
      <protection locked="0"/>
    </xf>
    <xf numFmtId="0" fontId="34" fillId="14" borderId="20" xfId="0" applyFont="1" applyFill="1" applyBorder="1" applyAlignment="1" applyProtection="1">
      <alignment horizontal="center" vertical="center"/>
      <protection locked="0"/>
    </xf>
    <xf numFmtId="4" fontId="34" fillId="6" borderId="20" xfId="0" applyNumberFormat="1" applyFont="1" applyFill="1" applyBorder="1" applyAlignment="1" applyProtection="1">
      <alignment horizontal="center" vertical="center"/>
      <protection hidden="1"/>
    </xf>
    <xf numFmtId="3" fontId="26" fillId="15" borderId="20" xfId="0" applyNumberFormat="1" applyFont="1" applyFill="1" applyBorder="1" applyAlignment="1" applyProtection="1">
      <alignment horizontal="center" vertical="center"/>
      <protection locked="0"/>
    </xf>
    <xf numFmtId="1" fontId="38" fillId="4" borderId="20" xfId="0" applyNumberFormat="1" applyFont="1" applyFill="1" applyBorder="1" applyAlignment="1" applyProtection="1">
      <alignment horizontal="center" wrapText="1"/>
      <protection locked="0"/>
    </xf>
    <xf numFmtId="4" fontId="38" fillId="4" borderId="20" xfId="0" applyNumberFormat="1" applyFont="1" applyFill="1" applyBorder="1" applyAlignment="1" applyProtection="1">
      <alignment horizontal="center" wrapText="1"/>
      <protection locked="0"/>
    </xf>
    <xf numFmtId="0" fontId="64" fillId="0" borderId="0" xfId="0" applyFont="1" applyAlignment="1" applyProtection="1">
      <alignment vertical="center"/>
      <protection hidden="1"/>
    </xf>
    <xf numFmtId="0" fontId="50" fillId="4" borderId="0" xfId="0" applyFont="1" applyFill="1" applyAlignment="1" applyProtection="1">
      <alignment vertical="center"/>
      <protection hidden="1"/>
    </xf>
    <xf numFmtId="0" fontId="67" fillId="0" borderId="0" xfId="0" applyFont="1" applyAlignment="1">
      <alignment vertical="center" wrapText="1"/>
    </xf>
    <xf numFmtId="0" fontId="67" fillId="19" borderId="0" xfId="0" applyFont="1" applyFill="1" applyAlignment="1">
      <alignment vertical="center" wrapText="1"/>
    </xf>
    <xf numFmtId="0" fontId="62" fillId="4" borderId="7" xfId="0" applyFont="1" applyFill="1" applyBorder="1" applyAlignment="1" applyProtection="1">
      <alignment vertical="top" wrapText="1"/>
      <protection hidden="1"/>
    </xf>
    <xf numFmtId="0" fontId="10" fillId="4" borderId="0" xfId="0" applyFont="1" applyFill="1" applyAlignment="1" applyProtection="1">
      <alignment vertical="center" wrapText="1"/>
      <protection locked="0"/>
    </xf>
    <xf numFmtId="0" fontId="10" fillId="4" borderId="0" xfId="0" applyFont="1" applyFill="1" applyProtection="1">
      <protection locked="0"/>
    </xf>
    <xf numFmtId="0" fontId="60" fillId="4" borderId="0" xfId="0" applyFont="1" applyFill="1" applyAlignment="1" applyProtection="1">
      <alignment vertical="top" wrapText="1"/>
      <protection hidden="1"/>
    </xf>
    <xf numFmtId="0" fontId="60" fillId="4" borderId="0" xfId="0" applyFont="1" applyFill="1" applyAlignment="1" applyProtection="1">
      <alignment horizontal="left" vertical="center" wrapText="1"/>
      <protection hidden="1"/>
    </xf>
    <xf numFmtId="0" fontId="27" fillId="4" borderId="0" xfId="0" applyFont="1" applyFill="1" applyAlignment="1" applyProtection="1">
      <alignment vertical="center"/>
      <protection hidden="1"/>
    </xf>
    <xf numFmtId="0" fontId="62" fillId="4" borderId="0" xfId="0" applyFont="1" applyFill="1" applyAlignment="1" applyProtection="1">
      <alignment vertical="top" wrapText="1"/>
      <protection hidden="1"/>
    </xf>
    <xf numFmtId="0" fontId="18" fillId="4" borderId="0" xfId="0" applyFont="1" applyFill="1" applyAlignment="1" applyProtection="1">
      <alignment vertical="center" wrapText="1"/>
      <protection hidden="1"/>
    </xf>
    <xf numFmtId="0" fontId="20" fillId="4" borderId="0" xfId="0" applyFont="1" applyFill="1" applyAlignment="1" applyProtection="1">
      <alignment vertical="center" wrapText="1"/>
      <protection hidden="1"/>
    </xf>
    <xf numFmtId="0" fontId="63" fillId="4" borderId="5" xfId="0" applyFont="1" applyFill="1" applyBorder="1" applyAlignment="1" applyProtection="1">
      <alignment vertical="center"/>
      <protection hidden="1"/>
    </xf>
    <xf numFmtId="0" fontId="63" fillId="4" borderId="6" xfId="0" applyFont="1" applyFill="1" applyBorder="1" applyAlignment="1" applyProtection="1">
      <alignment vertical="center"/>
      <protection hidden="1"/>
    </xf>
    <xf numFmtId="0" fontId="63" fillId="4" borderId="17" xfId="0" applyFont="1" applyFill="1" applyBorder="1" applyAlignment="1" applyProtection="1">
      <alignment vertical="center"/>
      <protection hidden="1"/>
    </xf>
    <xf numFmtId="0" fontId="63" fillId="4" borderId="7" xfId="0" applyFont="1" applyFill="1" applyBorder="1" applyAlignment="1" applyProtection="1">
      <alignment vertical="center"/>
      <protection hidden="1"/>
    </xf>
    <xf numFmtId="0" fontId="63" fillId="4" borderId="8" xfId="0" applyFont="1" applyFill="1" applyBorder="1" applyAlignment="1" applyProtection="1">
      <alignment vertical="center"/>
      <protection hidden="1"/>
    </xf>
    <xf numFmtId="0" fontId="35" fillId="4" borderId="0" xfId="0" applyFont="1" applyFill="1" applyAlignment="1" applyProtection="1">
      <alignment vertical="center" wrapText="1"/>
      <protection locked="0"/>
    </xf>
    <xf numFmtId="0" fontId="35" fillId="4" borderId="19" xfId="0" applyFont="1" applyFill="1" applyBorder="1" applyAlignment="1" applyProtection="1">
      <alignment vertical="center" wrapText="1"/>
      <protection hidden="1"/>
    </xf>
    <xf numFmtId="0" fontId="35" fillId="4" borderId="19" xfId="0" applyFont="1" applyFill="1" applyBorder="1" applyAlignment="1" applyProtection="1">
      <alignment vertical="center" wrapText="1"/>
      <protection locked="0"/>
    </xf>
    <xf numFmtId="0" fontId="0" fillId="4" borderId="0" xfId="0" applyFill="1" applyAlignment="1">
      <alignment vertical="center"/>
    </xf>
    <xf numFmtId="0" fontId="0" fillId="4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4" borderId="15" xfId="0" applyFill="1" applyBorder="1" applyAlignment="1" applyProtection="1">
      <alignment vertical="center"/>
      <protection locked="0"/>
    </xf>
    <xf numFmtId="0" fontId="0" fillId="4" borderId="16" xfId="0" applyFill="1" applyBorder="1" applyAlignment="1" applyProtection="1">
      <alignment vertical="center"/>
      <protection locked="0"/>
    </xf>
    <xf numFmtId="0" fontId="61" fillId="4" borderId="0" xfId="0" applyFont="1" applyFill="1" applyAlignment="1" applyProtection="1">
      <alignment vertical="center"/>
      <protection locked="0"/>
    </xf>
    <xf numFmtId="0" fontId="62" fillId="4" borderId="6" xfId="0" applyFont="1" applyFill="1" applyBorder="1" applyAlignment="1" applyProtection="1">
      <alignment vertical="top" wrapText="1"/>
      <protection hidden="1"/>
    </xf>
    <xf numFmtId="0" fontId="61" fillId="4" borderId="0" xfId="0" applyFont="1" applyFill="1" applyAlignment="1" applyProtection="1">
      <alignment vertical="top" wrapText="1"/>
      <protection hidden="1"/>
    </xf>
    <xf numFmtId="0" fontId="68" fillId="4" borderId="0" xfId="0" applyFont="1" applyFill="1" applyAlignment="1" applyProtection="1">
      <alignment horizontal="center" vertical="top" wrapText="1"/>
      <protection hidden="1"/>
    </xf>
    <xf numFmtId="0" fontId="62" fillId="4" borderId="0" xfId="0" applyFont="1" applyFill="1" applyAlignment="1" applyProtection="1">
      <alignment vertical="center"/>
      <protection locked="0"/>
    </xf>
    <xf numFmtId="0" fontId="62" fillId="4" borderId="0" xfId="0" applyFont="1" applyFill="1" applyAlignment="1" applyProtection="1">
      <alignment horizontal="center" vertical="top"/>
      <protection locked="0"/>
    </xf>
    <xf numFmtId="1" fontId="30" fillId="12" borderId="12" xfId="0" applyNumberFormat="1" applyFont="1" applyFill="1" applyBorder="1" applyAlignment="1" applyProtection="1">
      <alignment horizontal="center" vertical="center"/>
      <protection hidden="1"/>
    </xf>
    <xf numFmtId="0" fontId="30" fillId="12" borderId="55" xfId="0" applyFont="1" applyFill="1" applyBorder="1" applyAlignment="1" applyProtection="1">
      <alignment horizontal="center" vertical="center"/>
      <protection hidden="1"/>
    </xf>
    <xf numFmtId="165" fontId="30" fillId="12" borderId="56" xfId="0" applyNumberFormat="1" applyFont="1" applyFill="1" applyBorder="1" applyAlignment="1" applyProtection="1">
      <alignment horizontal="center" vertical="center"/>
      <protection hidden="1"/>
    </xf>
    <xf numFmtId="3" fontId="56" fillId="6" borderId="1" xfId="0" applyNumberFormat="1" applyFont="1" applyFill="1" applyBorder="1" applyAlignment="1" applyProtection="1">
      <alignment horizontal="center" vertical="center"/>
      <protection hidden="1"/>
    </xf>
    <xf numFmtId="3" fontId="62" fillId="14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" fontId="62" fillId="14" borderId="1" xfId="0" applyNumberFormat="1" applyFont="1" applyFill="1" applyBorder="1" applyAlignment="1" applyProtection="1">
      <alignment horizontal="center" vertical="center"/>
      <protection locked="0"/>
    </xf>
    <xf numFmtId="0" fontId="56" fillId="4" borderId="0" xfId="0" applyFont="1" applyFill="1" applyAlignment="1" applyProtection="1">
      <alignment horizontal="center" vertical="top"/>
      <protection locked="0"/>
    </xf>
    <xf numFmtId="0" fontId="62" fillId="4" borderId="0" xfId="0" applyFont="1" applyFill="1" applyAlignment="1" applyProtection="1">
      <alignment wrapText="1"/>
      <protection hidden="1"/>
    </xf>
    <xf numFmtId="0" fontId="60" fillId="4" borderId="6" xfId="0" applyFont="1" applyFill="1" applyBorder="1" applyAlignment="1" applyProtection="1">
      <alignment vertical="top" wrapText="1"/>
      <protection hidden="1"/>
    </xf>
    <xf numFmtId="1" fontId="63" fillId="4" borderId="6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/>
    <xf numFmtId="0" fontId="34" fillId="14" borderId="22" xfId="0" applyFont="1" applyFill="1" applyBorder="1" applyAlignment="1" applyProtection="1">
      <alignment horizontal="center" vertical="center"/>
      <protection locked="0"/>
    </xf>
    <xf numFmtId="0" fontId="34" fillId="14" borderId="3" xfId="0" applyFont="1" applyFill="1" applyBorder="1" applyAlignment="1" applyProtection="1">
      <alignment horizontal="center" vertical="center"/>
      <protection locked="0"/>
    </xf>
    <xf numFmtId="0" fontId="62" fillId="4" borderId="0" xfId="0" applyFont="1" applyFill="1" applyAlignment="1" applyProtection="1">
      <alignment horizontal="left" vertical="top"/>
      <protection locked="0"/>
    </xf>
    <xf numFmtId="4" fontId="65" fillId="4" borderId="6" xfId="0" applyNumberFormat="1" applyFont="1" applyFill="1" applyBorder="1" applyAlignment="1" applyProtection="1">
      <alignment horizontal="left" vertical="center"/>
      <protection hidden="1"/>
    </xf>
    <xf numFmtId="0" fontId="63" fillId="4" borderId="0" xfId="0" applyFont="1" applyFill="1" applyAlignment="1" applyProtection="1">
      <alignment vertical="center"/>
      <protection hidden="1"/>
    </xf>
    <xf numFmtId="0" fontId="47" fillId="4" borderId="0" xfId="0" applyFont="1" applyFill="1" applyAlignment="1" applyProtection="1">
      <alignment vertical="center"/>
      <protection hidden="1"/>
    </xf>
    <xf numFmtId="0" fontId="26" fillId="4" borderId="0" xfId="0" applyFont="1" applyFill="1" applyAlignment="1" applyProtection="1">
      <alignment vertical="center"/>
      <protection locked="0"/>
    </xf>
    <xf numFmtId="0" fontId="26" fillId="4" borderId="5" xfId="0" applyFont="1" applyFill="1" applyBorder="1" applyAlignment="1" applyProtection="1">
      <alignment vertical="center"/>
      <protection locked="0"/>
    </xf>
    <xf numFmtId="0" fontId="26" fillId="4" borderId="6" xfId="0" applyFont="1" applyFill="1" applyBorder="1" applyAlignment="1" applyProtection="1">
      <alignment vertical="center"/>
      <protection locked="0"/>
    </xf>
    <xf numFmtId="0" fontId="69" fillId="4" borderId="5" xfId="0" applyFont="1" applyFill="1" applyBorder="1" applyAlignment="1" applyProtection="1">
      <alignment horizontal="right" vertical="center"/>
      <protection hidden="1"/>
    </xf>
    <xf numFmtId="0" fontId="24" fillId="6" borderId="1" xfId="1" applyNumberFormat="1" applyFont="1" applyFill="1" applyBorder="1" applyAlignment="1" applyProtection="1">
      <alignment horizontal="center"/>
      <protection hidden="1"/>
    </xf>
    <xf numFmtId="0" fontId="34" fillId="4" borderId="19" xfId="0" applyFont="1" applyFill="1" applyBorder="1" applyAlignment="1" applyProtection="1">
      <alignment horizontal="right" vertical="center"/>
      <protection hidden="1"/>
    </xf>
    <xf numFmtId="0" fontId="26" fillId="4" borderId="0" xfId="0" applyFont="1" applyFill="1" applyAlignment="1" applyProtection="1">
      <alignment vertical="center"/>
      <protection hidden="1"/>
    </xf>
    <xf numFmtId="0" fontId="0" fillId="4" borderId="0" xfId="0" applyFill="1" applyAlignment="1" applyProtection="1">
      <alignment vertical="center" wrapText="1"/>
      <protection hidden="1"/>
    </xf>
    <xf numFmtId="0" fontId="0" fillId="4" borderId="0" xfId="0" applyFill="1" applyAlignment="1" applyProtection="1">
      <alignment vertical="top"/>
      <protection hidden="1"/>
    </xf>
    <xf numFmtId="0" fontId="0" fillId="4" borderId="0" xfId="0" applyFill="1" applyAlignment="1" applyProtection="1">
      <alignment horizontal="center" vertical="center" wrapText="1"/>
      <protection hidden="1"/>
    </xf>
    <xf numFmtId="0" fontId="33" fillId="4" borderId="0" xfId="0" applyFont="1" applyFill="1" applyAlignment="1" applyProtection="1">
      <alignment vertical="center" wrapText="1"/>
      <protection locked="0"/>
    </xf>
    <xf numFmtId="0" fontId="28" fillId="4" borderId="0" xfId="0" applyFont="1" applyFill="1" applyAlignment="1" applyProtection="1">
      <alignment vertical="top" wrapText="1"/>
      <protection hidden="1"/>
    </xf>
    <xf numFmtId="0" fontId="27" fillId="4" borderId="0" xfId="0" applyFont="1" applyFill="1" applyAlignment="1" applyProtection="1">
      <alignment vertical="top"/>
      <protection hidden="1"/>
    </xf>
    <xf numFmtId="0" fontId="24" fillId="13" borderId="28" xfId="0" applyFont="1" applyFill="1" applyBorder="1" applyAlignment="1" applyProtection="1">
      <alignment horizontal="center" vertical="center"/>
      <protection locked="0"/>
    </xf>
    <xf numFmtId="0" fontId="25" fillId="3" borderId="58" xfId="0" applyFont="1" applyFill="1" applyBorder="1" applyAlignment="1" applyProtection="1">
      <alignment horizontal="center" vertical="center" wrapText="1"/>
      <protection hidden="1"/>
    </xf>
    <xf numFmtId="0" fontId="24" fillId="13" borderId="40" xfId="0" applyFont="1" applyFill="1" applyBorder="1" applyAlignment="1" applyProtection="1">
      <alignment horizontal="center" vertical="center"/>
      <protection locked="0"/>
    </xf>
    <xf numFmtId="3" fontId="26" fillId="15" borderId="50" xfId="0" applyNumberFormat="1" applyFont="1" applyFill="1" applyBorder="1" applyAlignment="1" applyProtection="1">
      <alignment horizontal="center" vertical="center"/>
      <protection locked="0"/>
    </xf>
    <xf numFmtId="0" fontId="24" fillId="3" borderId="25" xfId="0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0" fillId="14" borderId="24" xfId="0" applyFill="1" applyBorder="1" applyAlignment="1" applyProtection="1">
      <alignment horizontal="center" vertical="center"/>
      <protection locked="0"/>
    </xf>
    <xf numFmtId="3" fontId="5" fillId="17" borderId="1" xfId="0" applyNumberFormat="1" applyFont="1" applyFill="1" applyBorder="1" applyAlignment="1" applyProtection="1">
      <alignment horizontal="center" vertical="center" wrapText="1"/>
      <protection hidden="1"/>
    </xf>
    <xf numFmtId="3" fontId="5" fillId="12" borderId="1" xfId="0" applyNumberFormat="1" applyFont="1" applyFill="1" applyBorder="1" applyAlignment="1" applyProtection="1">
      <alignment horizontal="center" vertical="center"/>
      <protection hidden="1"/>
    </xf>
    <xf numFmtId="0" fontId="27" fillId="2" borderId="0" xfId="0" applyFont="1" applyFill="1" applyAlignment="1" applyProtection="1">
      <alignment horizontal="center" vertical="center"/>
      <protection hidden="1"/>
    </xf>
    <xf numFmtId="0" fontId="27" fillId="2" borderId="6" xfId="0" applyFont="1" applyFill="1" applyBorder="1" applyAlignment="1" applyProtection="1">
      <alignment horizontal="center" vertical="center"/>
      <protection hidden="1"/>
    </xf>
    <xf numFmtId="0" fontId="27" fillId="2" borderId="5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center" vertical="center"/>
      <protection locked="0"/>
    </xf>
    <xf numFmtId="0" fontId="27" fillId="2" borderId="6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left" vertical="top"/>
      <protection hidden="1"/>
    </xf>
    <xf numFmtId="0" fontId="4" fillId="6" borderId="25" xfId="0" applyFont="1" applyFill="1" applyBorder="1" applyAlignment="1" applyProtection="1">
      <alignment vertical="center"/>
      <protection hidden="1"/>
    </xf>
    <xf numFmtId="0" fontId="4" fillId="14" borderId="23" xfId="0" applyFont="1" applyFill="1" applyBorder="1" applyAlignment="1" applyProtection="1">
      <alignment vertical="center"/>
      <protection hidden="1"/>
    </xf>
    <xf numFmtId="0" fontId="4" fillId="4" borderId="24" xfId="0" applyFont="1" applyFill="1" applyBorder="1" applyAlignment="1" applyProtection="1">
      <alignment vertical="center"/>
      <protection hidden="1"/>
    </xf>
    <xf numFmtId="0" fontId="24" fillId="3" borderId="53" xfId="0" applyFont="1" applyFill="1" applyBorder="1" applyAlignment="1" applyProtection="1">
      <alignment horizontal="center" vertical="center" wrapText="1"/>
      <protection hidden="1"/>
    </xf>
    <xf numFmtId="2" fontId="24" fillId="3" borderId="51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locked="0"/>
    </xf>
    <xf numFmtId="0" fontId="70" fillId="21" borderId="59" xfId="0" applyFont="1" applyFill="1" applyBorder="1" applyAlignment="1" applyProtection="1">
      <alignment horizontal="center" vertical="top"/>
      <protection hidden="1"/>
    </xf>
    <xf numFmtId="0" fontId="70" fillId="2" borderId="46" xfId="0" applyFont="1" applyFill="1" applyBorder="1" applyAlignment="1" applyProtection="1">
      <alignment horizontal="center" vertical="top"/>
      <protection hidden="1"/>
    </xf>
    <xf numFmtId="0" fontId="55" fillId="0" borderId="0" xfId="0" applyFont="1" applyAlignment="1" applyProtection="1">
      <alignment vertical="center"/>
      <protection locked="0"/>
    </xf>
    <xf numFmtId="4" fontId="4" fillId="6" borderId="1" xfId="0" applyNumberFormat="1" applyFont="1" applyFill="1" applyBorder="1" applyAlignment="1" applyProtection="1">
      <alignment horizontal="center" vertical="center"/>
      <protection hidden="1"/>
    </xf>
    <xf numFmtId="0" fontId="30" fillId="10" borderId="22" xfId="0" applyFont="1" applyFill="1" applyBorder="1" applyAlignment="1">
      <alignment horizontal="left" vertical="center" wrapText="1"/>
    </xf>
    <xf numFmtId="0" fontId="30" fillId="10" borderId="3" xfId="0" applyFont="1" applyFill="1" applyBorder="1" applyAlignment="1">
      <alignment horizontal="left" vertical="center" wrapText="1"/>
    </xf>
    <xf numFmtId="0" fontId="30" fillId="10" borderId="9" xfId="0" applyFont="1" applyFill="1" applyBorder="1" applyAlignment="1">
      <alignment horizontal="left" vertical="center"/>
    </xf>
    <xf numFmtId="0" fontId="30" fillId="10" borderId="44" xfId="0" applyFont="1" applyFill="1" applyBorder="1" applyAlignment="1">
      <alignment horizontal="left" vertical="center"/>
    </xf>
    <xf numFmtId="166" fontId="30" fillId="12" borderId="47" xfId="0" applyNumberFormat="1" applyFont="1" applyFill="1" applyBorder="1" applyAlignment="1" applyProtection="1">
      <alignment horizontal="center" vertical="center"/>
      <protection hidden="1"/>
    </xf>
    <xf numFmtId="166" fontId="30" fillId="12" borderId="10" xfId="0" applyNumberFormat="1" applyFont="1" applyFill="1" applyBorder="1" applyAlignment="1" applyProtection="1">
      <alignment horizontal="center" vertical="center"/>
      <protection hidden="1"/>
    </xf>
    <xf numFmtId="0" fontId="30" fillId="10" borderId="26" xfId="0" applyFont="1" applyFill="1" applyBorder="1" applyAlignment="1">
      <alignment horizontal="center" vertical="center"/>
    </xf>
    <xf numFmtId="0" fontId="30" fillId="10" borderId="1" xfId="0" applyFont="1" applyFill="1" applyBorder="1" applyAlignment="1">
      <alignment horizontal="center" vertical="center"/>
    </xf>
    <xf numFmtId="165" fontId="0" fillId="3" borderId="28" xfId="0" applyNumberFormat="1" applyFill="1" applyBorder="1" applyAlignment="1" applyProtection="1">
      <alignment horizontal="left" vertical="center"/>
      <protection hidden="1"/>
    </xf>
    <xf numFmtId="165" fontId="0" fillId="16" borderId="28" xfId="0" applyNumberFormat="1" applyFill="1" applyBorder="1" applyAlignment="1" applyProtection="1">
      <alignment horizontal="left" vertical="center"/>
      <protection hidden="1"/>
    </xf>
    <xf numFmtId="0" fontId="0" fillId="2" borderId="6" xfId="0" applyFill="1" applyBorder="1" applyAlignment="1" applyProtection="1">
      <alignment horizontal="left" vertical="center"/>
      <protection hidden="1"/>
    </xf>
    <xf numFmtId="165" fontId="11" fillId="16" borderId="28" xfId="0" applyNumberFormat="1" applyFont="1" applyFill="1" applyBorder="1" applyAlignment="1" applyProtection="1">
      <alignment horizontal="left" vertical="center"/>
      <protection hidden="1"/>
    </xf>
    <xf numFmtId="0" fontId="0" fillId="4" borderId="6" xfId="0" applyFill="1" applyBorder="1" applyAlignment="1" applyProtection="1">
      <alignment horizontal="left" vertical="center"/>
      <protection hidden="1"/>
    </xf>
    <xf numFmtId="0" fontId="30" fillId="10" borderId="35" xfId="0" applyFont="1" applyFill="1" applyBorder="1" applyAlignment="1">
      <alignment vertical="center"/>
    </xf>
    <xf numFmtId="2" fontId="30" fillId="12" borderId="50" xfId="0" applyNumberFormat="1" applyFont="1" applyFill="1" applyBorder="1" applyAlignment="1" applyProtection="1">
      <alignment horizontal="center" vertical="center"/>
      <protection hidden="1"/>
    </xf>
    <xf numFmtId="0" fontId="30" fillId="10" borderId="37" xfId="0" applyFont="1" applyFill="1" applyBorder="1" applyAlignment="1">
      <alignment vertical="center" wrapText="1"/>
    </xf>
    <xf numFmtId="0" fontId="30" fillId="10" borderId="60" xfId="0" applyFont="1" applyFill="1" applyBorder="1" applyAlignment="1">
      <alignment horizontal="center" vertical="center" wrapText="1"/>
    </xf>
    <xf numFmtId="0" fontId="30" fillId="10" borderId="38" xfId="0" applyFont="1" applyFill="1" applyBorder="1" applyAlignment="1">
      <alignment horizontal="center" vertical="center" wrapText="1"/>
    </xf>
    <xf numFmtId="0" fontId="67" fillId="0" borderId="0" xfId="0" applyFont="1"/>
    <xf numFmtId="0" fontId="67" fillId="0" borderId="0" xfId="0" applyFont="1" applyAlignment="1">
      <alignment horizontal="left" wrapText="1"/>
    </xf>
    <xf numFmtId="0" fontId="67" fillId="7" borderId="0" xfId="0" applyFont="1" applyFill="1" applyAlignment="1">
      <alignment wrapText="1"/>
    </xf>
    <xf numFmtId="0" fontId="67" fillId="0" borderId="0" xfId="0" applyFont="1" applyAlignment="1">
      <alignment wrapText="1"/>
    </xf>
    <xf numFmtId="0" fontId="67" fillId="18" borderId="0" xfId="0" applyFont="1" applyFill="1" applyAlignment="1">
      <alignment wrapText="1"/>
    </xf>
    <xf numFmtId="0" fontId="71" fillId="20" borderId="0" xfId="0" applyFont="1" applyFill="1" applyAlignment="1">
      <alignment horizontal="left" wrapText="1"/>
    </xf>
    <xf numFmtId="0" fontId="71" fillId="6" borderId="0" xfId="0" applyFont="1" applyFill="1" applyAlignment="1">
      <alignment horizontal="left" wrapText="1"/>
    </xf>
    <xf numFmtId="0" fontId="67" fillId="20" borderId="0" xfId="0" applyFont="1" applyFill="1" applyAlignment="1">
      <alignment horizontal="left" wrapText="1"/>
    </xf>
    <xf numFmtId="0" fontId="71" fillId="0" borderId="0" xfId="0" applyFont="1" applyAlignment="1">
      <alignment horizontal="left" wrapText="1"/>
    </xf>
    <xf numFmtId="0" fontId="67" fillId="19" borderId="0" xfId="0" applyFont="1" applyFill="1"/>
    <xf numFmtId="168" fontId="67" fillId="0" borderId="0" xfId="0" applyNumberFormat="1" applyFont="1"/>
    <xf numFmtId="4" fontId="67" fillId="18" borderId="0" xfId="0" applyNumberFormat="1" applyFont="1" applyFill="1"/>
    <xf numFmtId="0" fontId="67" fillId="0" borderId="0" xfId="0" applyFont="1" applyProtection="1">
      <protection locked="0"/>
    </xf>
    <xf numFmtId="0" fontId="72" fillId="0" borderId="0" xfId="0" applyFont="1"/>
    <xf numFmtId="0" fontId="73" fillId="0" borderId="0" xfId="0" applyFont="1" applyAlignment="1">
      <alignment vertical="center"/>
    </xf>
    <xf numFmtId="0" fontId="67" fillId="0" borderId="0" xfId="0" applyFont="1" applyAlignment="1">
      <alignment horizontal="right"/>
    </xf>
    <xf numFmtId="0" fontId="67" fillId="0" borderId="0" xfId="0" applyFont="1" applyAlignment="1">
      <alignment horizontal="right" vertical="center"/>
    </xf>
    <xf numFmtId="0" fontId="67" fillId="19" borderId="0" xfId="0" applyFont="1" applyFill="1" applyAlignment="1">
      <alignment horizontal="right" vertical="center"/>
    </xf>
    <xf numFmtId="0" fontId="74" fillId="0" borderId="0" xfId="0" applyFont="1" applyAlignment="1">
      <alignment horizontal="right" vertical="center"/>
    </xf>
    <xf numFmtId="0" fontId="74" fillId="0" borderId="0" xfId="0" applyFont="1"/>
    <xf numFmtId="0" fontId="67" fillId="22" borderId="0" xfId="0" applyFont="1" applyFill="1"/>
    <xf numFmtId="0" fontId="67" fillId="20" borderId="0" xfId="0" applyFont="1" applyFill="1" applyAlignment="1">
      <alignment horizontal="right" wrapText="1"/>
    </xf>
    <xf numFmtId="0" fontId="71" fillId="6" borderId="0" xfId="0" applyFont="1" applyFill="1" applyAlignment="1">
      <alignment wrapText="1"/>
    </xf>
    <xf numFmtId="0" fontId="72" fillId="23" borderId="0" xfId="0" applyFont="1" applyFill="1" applyAlignment="1">
      <alignment horizontal="right" vertical="center"/>
    </xf>
    <xf numFmtId="0" fontId="72" fillId="23" borderId="0" xfId="0" applyFont="1" applyFill="1"/>
    <xf numFmtId="0" fontId="71" fillId="0" borderId="0" xfId="0" applyFont="1" applyAlignment="1">
      <alignment horizontal="right" wrapText="1"/>
    </xf>
    <xf numFmtId="0" fontId="72" fillId="0" borderId="0" xfId="0" applyFont="1" applyAlignment="1">
      <alignment horizontal="left" wrapText="1"/>
    </xf>
    <xf numFmtId="0" fontId="71" fillId="19" borderId="0" xfId="0" applyFont="1" applyFill="1" applyAlignment="1">
      <alignment horizontal="left" wrapText="1"/>
    </xf>
    <xf numFmtId="0" fontId="67" fillId="19" borderId="0" xfId="0" applyFont="1" applyFill="1" applyAlignment="1">
      <alignment horizontal="right"/>
    </xf>
    <xf numFmtId="2" fontId="67" fillId="0" borderId="0" xfId="0" applyNumberFormat="1" applyFont="1" applyAlignment="1">
      <alignment horizontal="right"/>
    </xf>
    <xf numFmtId="170" fontId="67" fillId="0" borderId="0" xfId="0" applyNumberFormat="1" applyFont="1" applyAlignment="1">
      <alignment horizontal="right"/>
    </xf>
    <xf numFmtId="1" fontId="67" fillId="0" borderId="0" xfId="0" applyNumberFormat="1" applyFont="1" applyAlignment="1">
      <alignment horizontal="right"/>
    </xf>
    <xf numFmtId="0" fontId="38" fillId="4" borderId="5" xfId="0" applyFont="1" applyFill="1" applyBorder="1" applyAlignment="1" applyProtection="1">
      <alignment horizontal="left" vertical="center" wrapText="1"/>
      <protection hidden="1"/>
    </xf>
    <xf numFmtId="0" fontId="38" fillId="4" borderId="17" xfId="0" applyFont="1" applyFill="1" applyBorder="1" applyAlignment="1" applyProtection="1">
      <alignment horizontal="left" vertical="center" wrapText="1"/>
      <protection hidden="1"/>
    </xf>
    <xf numFmtId="0" fontId="24" fillId="4" borderId="5" xfId="0" applyFont="1" applyFill="1" applyBorder="1" applyAlignment="1" applyProtection="1">
      <alignment horizontal="center" vertical="center" wrapText="1"/>
      <protection hidden="1"/>
    </xf>
    <xf numFmtId="0" fontId="74" fillId="0" borderId="0" xfId="0" applyFont="1" applyAlignment="1">
      <alignment horizontal="right"/>
    </xf>
    <xf numFmtId="0" fontId="71" fillId="20" borderId="0" xfId="0" applyFont="1" applyFill="1" applyAlignment="1">
      <alignment horizontal="right" wrapText="1"/>
    </xf>
    <xf numFmtId="0" fontId="71" fillId="0" borderId="0" xfId="0" applyFont="1" applyAlignment="1">
      <alignment horizontal="center" wrapText="1"/>
    </xf>
    <xf numFmtId="0" fontId="67" fillId="24" borderId="0" xfId="0" applyFont="1" applyFill="1" applyAlignment="1">
      <alignment horizontal="right" vertical="center"/>
    </xf>
    <xf numFmtId="0" fontId="30" fillId="4" borderId="5" xfId="0" applyFont="1" applyFill="1" applyBorder="1" applyAlignment="1" applyProtection="1">
      <alignment wrapText="1"/>
      <protection hidden="1"/>
    </xf>
    <xf numFmtId="0" fontId="38" fillId="4" borderId="6" xfId="0" applyFont="1" applyFill="1" applyBorder="1" applyProtection="1">
      <protection hidden="1"/>
    </xf>
    <xf numFmtId="0" fontId="62" fillId="4" borderId="5" xfId="0" applyFont="1" applyFill="1" applyBorder="1" applyAlignment="1" applyProtection="1">
      <alignment vertical="center" wrapText="1"/>
      <protection hidden="1"/>
    </xf>
    <xf numFmtId="0" fontId="62" fillId="4" borderId="0" xfId="0" applyFont="1" applyFill="1" applyAlignment="1" applyProtection="1">
      <alignment vertical="center" wrapText="1"/>
      <protection hidden="1"/>
    </xf>
    <xf numFmtId="3" fontId="26" fillId="15" borderId="3" xfId="0" applyNumberFormat="1" applyFont="1" applyFill="1" applyBorder="1" applyAlignment="1" applyProtection="1">
      <alignment horizontal="center" vertical="center"/>
      <protection locked="0"/>
    </xf>
    <xf numFmtId="1" fontId="6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center"/>
      <protection locked="0"/>
    </xf>
    <xf numFmtId="4" fontId="6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62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Protection="1"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4" fontId="62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vertical="center"/>
      <protection hidden="1"/>
    </xf>
    <xf numFmtId="0" fontId="0" fillId="0" borderId="28" xfId="0" applyBorder="1" applyAlignment="1" applyProtection="1">
      <alignment vertical="center"/>
      <protection hidden="1"/>
    </xf>
    <xf numFmtId="0" fontId="38" fillId="0" borderId="28" xfId="0" applyFont="1" applyBorder="1" applyAlignment="1" applyProtection="1">
      <alignment vertical="top" wrapText="1"/>
      <protection hidden="1"/>
    </xf>
    <xf numFmtId="0" fontId="0" fillId="4" borderId="0" xfId="0" applyFill="1" applyAlignment="1">
      <alignment horizontal="center" vertical="center"/>
    </xf>
    <xf numFmtId="0" fontId="38" fillId="4" borderId="6" xfId="0" applyFont="1" applyFill="1" applyBorder="1" applyAlignment="1" applyProtection="1">
      <alignment vertical="center" wrapText="1"/>
      <protection locked="0"/>
    </xf>
    <xf numFmtId="0" fontId="35" fillId="4" borderId="5" xfId="0" applyFont="1" applyFill="1" applyBorder="1" applyAlignment="1" applyProtection="1">
      <alignment vertical="center"/>
      <protection locked="0"/>
    </xf>
    <xf numFmtId="0" fontId="35" fillId="4" borderId="0" xfId="0" applyFont="1" applyFill="1" applyAlignment="1" applyProtection="1">
      <alignment vertical="center"/>
      <protection locked="0"/>
    </xf>
    <xf numFmtId="0" fontId="30" fillId="4" borderId="0" xfId="0" applyFont="1" applyFill="1" applyAlignment="1">
      <alignment vertical="center" wrapText="1"/>
    </xf>
    <xf numFmtId="0" fontId="30" fillId="4" borderId="6" xfId="0" applyFont="1" applyFill="1" applyBorder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30" fillId="4" borderId="0" xfId="0" applyFont="1" applyFill="1" applyAlignment="1" applyProtection="1">
      <alignment wrapText="1"/>
      <protection hidden="1"/>
    </xf>
    <xf numFmtId="0" fontId="38" fillId="4" borderId="0" xfId="0" applyFont="1" applyFill="1" applyAlignment="1" applyProtection="1">
      <alignment wrapText="1"/>
      <protection hidden="1"/>
    </xf>
    <xf numFmtId="4" fontId="74" fillId="18" borderId="0" xfId="0" applyNumberFormat="1" applyFont="1" applyFill="1"/>
    <xf numFmtId="170" fontId="74" fillId="0" borderId="0" xfId="0" applyNumberFormat="1" applyFont="1" applyAlignment="1">
      <alignment horizontal="right"/>
    </xf>
    <xf numFmtId="170" fontId="67" fillId="0" borderId="0" xfId="0" applyNumberFormat="1" applyFont="1"/>
    <xf numFmtId="170" fontId="74" fillId="0" borderId="0" xfId="0" applyNumberFormat="1" applyFont="1" applyAlignment="1">
      <alignment horizontal="right" vertical="center"/>
    </xf>
    <xf numFmtId="170" fontId="74" fillId="0" borderId="0" xfId="0" applyNumberFormat="1" applyFont="1"/>
    <xf numFmtId="0" fontId="67" fillId="18" borderId="0" xfId="0" applyFont="1" applyFill="1" applyAlignment="1">
      <alignment horizontal="right" vertical="center"/>
    </xf>
    <xf numFmtId="2" fontId="67" fillId="18" borderId="0" xfId="0" applyNumberFormat="1" applyFont="1" applyFill="1" applyAlignment="1">
      <alignment horizontal="right"/>
    </xf>
    <xf numFmtId="2" fontId="74" fillId="18" borderId="0" xfId="0" applyNumberFormat="1" applyFont="1" applyFill="1" applyAlignment="1">
      <alignment horizontal="right"/>
    </xf>
    <xf numFmtId="0" fontId="30" fillId="10" borderId="63" xfId="0" applyFont="1" applyFill="1" applyBorder="1" applyAlignment="1">
      <alignment horizontal="center" vertical="center"/>
    </xf>
    <xf numFmtId="0" fontId="30" fillId="10" borderId="30" xfId="0" applyFont="1" applyFill="1" applyBorder="1" applyAlignment="1">
      <alignment horizontal="center" vertical="center"/>
    </xf>
    <xf numFmtId="0" fontId="30" fillId="10" borderId="2" xfId="0" applyFont="1" applyFill="1" applyBorder="1" applyAlignment="1">
      <alignment horizontal="center" vertical="center"/>
    </xf>
    <xf numFmtId="0" fontId="30" fillId="10" borderId="3" xfId="0" applyFont="1" applyFill="1" applyBorder="1" applyAlignment="1">
      <alignment horizontal="center" vertical="center"/>
    </xf>
    <xf numFmtId="0" fontId="30" fillId="10" borderId="39" xfId="0" applyFont="1" applyFill="1" applyBorder="1" applyAlignment="1">
      <alignment horizontal="center" vertical="center" wrapText="1"/>
    </xf>
    <xf numFmtId="0" fontId="63" fillId="0" borderId="0" xfId="0" applyFont="1" applyAlignment="1" applyProtection="1">
      <alignment vertical="center"/>
      <protection hidden="1"/>
    </xf>
    <xf numFmtId="0" fontId="30" fillId="10" borderId="30" xfId="0" applyFont="1" applyFill="1" applyBorder="1" applyAlignment="1">
      <alignment horizontal="center" vertical="center" wrapText="1"/>
    </xf>
    <xf numFmtId="0" fontId="30" fillId="10" borderId="3" xfId="0" applyFont="1" applyFill="1" applyBorder="1" applyAlignment="1">
      <alignment horizontal="center" vertical="center" wrapText="1"/>
    </xf>
    <xf numFmtId="0" fontId="30" fillId="10" borderId="62" xfId="0" applyFont="1" applyFill="1" applyBorder="1" applyAlignment="1">
      <alignment horizontal="center" vertical="center"/>
    </xf>
    <xf numFmtId="0" fontId="30" fillId="10" borderId="48" xfId="0" applyFont="1" applyFill="1" applyBorder="1" applyAlignment="1">
      <alignment horizontal="center" vertical="center" wrapText="1"/>
    </xf>
    <xf numFmtId="0" fontId="30" fillId="10" borderId="33" xfId="0" applyFont="1" applyFill="1" applyBorder="1" applyAlignment="1">
      <alignment horizontal="center" vertical="center" wrapText="1"/>
    </xf>
    <xf numFmtId="0" fontId="30" fillId="10" borderId="26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30" fillId="10" borderId="18" xfId="0" applyFont="1" applyFill="1" applyBorder="1" applyAlignment="1">
      <alignment horizontal="center" vertical="center"/>
    </xf>
    <xf numFmtId="0" fontId="30" fillId="10" borderId="54" xfId="0" applyFont="1" applyFill="1" applyBorder="1" applyAlignment="1">
      <alignment horizontal="center" vertical="center" wrapText="1"/>
    </xf>
    <xf numFmtId="0" fontId="0" fillId="4" borderId="7" xfId="0" applyFill="1" applyBorder="1" applyAlignment="1" applyProtection="1">
      <alignment horizontal="center" vertical="center"/>
      <protection locked="0"/>
    </xf>
    <xf numFmtId="0" fontId="30" fillId="10" borderId="61" xfId="0" applyFont="1" applyFill="1" applyBorder="1" applyAlignment="1">
      <alignment horizontal="center" vertical="center"/>
    </xf>
    <xf numFmtId="0" fontId="30" fillId="10" borderId="21" xfId="0" applyFont="1" applyFill="1" applyBorder="1" applyAlignment="1">
      <alignment vertical="center"/>
    </xf>
    <xf numFmtId="0" fontId="30" fillId="10" borderId="12" xfId="0" applyFont="1" applyFill="1" applyBorder="1" applyAlignment="1">
      <alignment horizontal="center" vertical="center"/>
    </xf>
    <xf numFmtId="0" fontId="30" fillId="10" borderId="33" xfId="0" applyFont="1" applyFill="1" applyBorder="1" applyAlignment="1">
      <alignment horizontal="center" vertical="center"/>
    </xf>
    <xf numFmtId="0" fontId="30" fillId="10" borderId="54" xfId="0" applyFont="1" applyFill="1" applyBorder="1" applyAlignment="1">
      <alignment horizontal="left" vertical="center"/>
    </xf>
    <xf numFmtId="0" fontId="30" fillId="10" borderId="17" xfId="0" applyFont="1" applyFill="1" applyBorder="1" applyAlignment="1">
      <alignment horizontal="left" vertical="center"/>
    </xf>
    <xf numFmtId="0" fontId="30" fillId="10" borderId="54" xfId="0" applyFont="1" applyFill="1" applyBorder="1" applyAlignment="1">
      <alignment horizontal="center" vertical="center"/>
    </xf>
    <xf numFmtId="0" fontId="28" fillId="10" borderId="41" xfId="0" applyFont="1" applyFill="1" applyBorder="1" applyAlignment="1">
      <alignment horizontal="center" vertical="center"/>
    </xf>
    <xf numFmtId="0" fontId="28" fillId="10" borderId="42" xfId="0" applyFont="1" applyFill="1" applyBorder="1" applyAlignment="1">
      <alignment horizontal="center" vertical="center"/>
    </xf>
    <xf numFmtId="0" fontId="28" fillId="10" borderId="43" xfId="0" applyFont="1" applyFill="1" applyBorder="1" applyAlignment="1">
      <alignment horizontal="center" vertical="center"/>
    </xf>
    <xf numFmtId="0" fontId="65" fillId="4" borderId="5" xfId="0" applyFont="1" applyFill="1" applyBorder="1" applyAlignment="1" applyProtection="1">
      <alignment horizontal="right" vertical="center"/>
      <protection locked="0"/>
    </xf>
    <xf numFmtId="4" fontId="65" fillId="4" borderId="0" xfId="0" applyNumberFormat="1" applyFont="1" applyFill="1" applyAlignment="1" applyProtection="1">
      <alignment horizontal="left" vertical="center"/>
      <protection hidden="1"/>
    </xf>
    <xf numFmtId="0" fontId="65" fillId="4" borderId="5" xfId="0" applyFont="1" applyFill="1" applyBorder="1" applyAlignment="1" applyProtection="1">
      <alignment horizontal="right" vertical="center" wrapText="1"/>
      <protection hidden="1"/>
    </xf>
    <xf numFmtId="0" fontId="65" fillId="4" borderId="0" xfId="0" applyFont="1" applyFill="1" applyAlignment="1" applyProtection="1">
      <alignment horizontal="right" vertical="center" wrapText="1"/>
      <protection hidden="1"/>
    </xf>
    <xf numFmtId="2" fontId="65" fillId="4" borderId="0" xfId="0" applyNumberFormat="1" applyFont="1" applyFill="1" applyAlignment="1" applyProtection="1">
      <alignment horizontal="left" vertical="center"/>
      <protection locked="0"/>
    </xf>
    <xf numFmtId="0" fontId="38" fillId="4" borderId="0" xfId="0" applyFont="1" applyFill="1" applyAlignment="1" applyProtection="1">
      <alignment vertical="center" wrapText="1"/>
      <protection hidden="1"/>
    </xf>
    <xf numFmtId="0" fontId="30" fillId="4" borderId="0" xfId="0" applyFont="1" applyFill="1" applyAlignment="1" applyProtection="1">
      <alignment horizontal="center" vertical="center" wrapText="1"/>
      <protection hidden="1"/>
    </xf>
    <xf numFmtId="0" fontId="27" fillId="2" borderId="5" xfId="0" applyFont="1" applyFill="1" applyBorder="1" applyAlignment="1" applyProtection="1">
      <alignment horizontal="center" vertical="center"/>
      <protection hidden="1"/>
    </xf>
    <xf numFmtId="0" fontId="39" fillId="2" borderId="0" xfId="0" applyFont="1" applyFill="1" applyAlignment="1" applyProtection="1">
      <alignment horizontal="center" vertical="center"/>
      <protection hidden="1"/>
    </xf>
    <xf numFmtId="0" fontId="39" fillId="2" borderId="0" xfId="0" applyFont="1" applyFill="1" applyAlignment="1" applyProtection="1">
      <alignment horizontal="left" vertical="center"/>
      <protection hidden="1"/>
    </xf>
    <xf numFmtId="0" fontId="19" fillId="4" borderId="0" xfId="0" applyFont="1" applyFill="1" applyAlignment="1" applyProtection="1">
      <alignment vertical="center"/>
      <protection hidden="1"/>
    </xf>
    <xf numFmtId="0" fontId="24" fillId="16" borderId="0" xfId="0" applyFont="1" applyFill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18" fillId="4" borderId="0" xfId="0" applyFont="1" applyFill="1" applyAlignment="1" applyProtection="1">
      <alignment horizontal="center" vertical="center"/>
      <protection hidden="1"/>
    </xf>
    <xf numFmtId="0" fontId="0" fillId="16" borderId="0" xfId="0" applyFill="1" applyAlignment="1" applyProtection="1">
      <alignment horizontal="center" vertical="center"/>
      <protection hidden="1"/>
    </xf>
    <xf numFmtId="166" fontId="26" fillId="4" borderId="0" xfId="0" applyNumberFormat="1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horizontal="center"/>
      <protection locked="0"/>
    </xf>
    <xf numFmtId="0" fontId="38" fillId="4" borderId="7" xfId="0" applyFont="1" applyFill="1" applyBorder="1" applyAlignment="1" applyProtection="1">
      <alignment vertical="center" wrapText="1"/>
      <protection hidden="1"/>
    </xf>
    <xf numFmtId="0" fontId="49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3" fillId="8" borderId="0" xfId="0" applyNumberFormat="1" applyFont="1" applyFill="1" applyAlignment="1" applyProtection="1">
      <alignment horizontal="right" vertical="center"/>
      <protection hidden="1"/>
    </xf>
    <xf numFmtId="49" fontId="47" fillId="8" borderId="0" xfId="0" applyNumberFormat="1" applyFont="1" applyFill="1" applyAlignment="1" applyProtection="1">
      <alignment horizontal="center" vertical="center"/>
      <protection hidden="1"/>
    </xf>
    <xf numFmtId="3" fontId="46" fillId="8" borderId="0" xfId="0" applyNumberFormat="1" applyFont="1" applyFill="1" applyAlignment="1" applyProtection="1">
      <alignment horizontal="right"/>
      <protection hidden="1"/>
    </xf>
    <xf numFmtId="0" fontId="46" fillId="8" borderId="0" xfId="0" applyFont="1" applyFill="1" applyAlignment="1" applyProtection="1">
      <alignment horizontal="right"/>
      <protection hidden="1"/>
    </xf>
    <xf numFmtId="0" fontId="75" fillId="8" borderId="0" xfId="0" applyFont="1" applyFill="1" applyAlignment="1" applyProtection="1">
      <alignment horizontal="right"/>
      <protection hidden="1"/>
    </xf>
    <xf numFmtId="0" fontId="30" fillId="8" borderId="0" xfId="0" applyFont="1" applyFill="1" applyAlignment="1" applyProtection="1">
      <alignment vertical="center"/>
      <protection hidden="1"/>
    </xf>
    <xf numFmtId="3" fontId="30" fillId="0" borderId="0" xfId="0" applyNumberFormat="1" applyFont="1" applyAlignment="1">
      <alignment vertical="center"/>
    </xf>
    <xf numFmtId="3" fontId="54" fillId="0" borderId="1" xfId="0" applyNumberFormat="1" applyFont="1" applyBorder="1" applyAlignment="1" applyProtection="1">
      <alignment vertical="center"/>
      <protection hidden="1"/>
    </xf>
    <xf numFmtId="3" fontId="54" fillId="25" borderId="1" xfId="0" applyNumberFormat="1" applyFont="1" applyFill="1" applyBorder="1" applyAlignment="1" applyProtection="1">
      <alignment vertical="center"/>
      <protection hidden="1"/>
    </xf>
    <xf numFmtId="3" fontId="54" fillId="0" borderId="0" xfId="0" applyNumberFormat="1" applyFont="1" applyAlignment="1" applyProtection="1">
      <alignment vertical="center"/>
      <protection hidden="1"/>
    </xf>
    <xf numFmtId="0" fontId="46" fillId="8" borderId="0" xfId="0" applyFont="1" applyFill="1" applyAlignment="1" applyProtection="1">
      <alignment vertical="center"/>
      <protection hidden="1"/>
    </xf>
    <xf numFmtId="0" fontId="46" fillId="8" borderId="0" xfId="0" applyFont="1" applyFill="1" applyAlignment="1" applyProtection="1">
      <alignment horizontal="right" vertical="center"/>
      <protection hidden="1"/>
    </xf>
    <xf numFmtId="3" fontId="42" fillId="0" borderId="0" xfId="0" applyNumberFormat="1" applyFont="1" applyAlignment="1" applyProtection="1">
      <alignment vertical="center"/>
      <protection hidden="1"/>
    </xf>
    <xf numFmtId="0" fontId="75" fillId="8" borderId="0" xfId="0" applyFont="1" applyFill="1" applyAlignment="1" applyProtection="1">
      <alignment horizontal="right" vertical="center"/>
      <protection hidden="1"/>
    </xf>
    <xf numFmtId="0" fontId="30" fillId="0" borderId="0" xfId="0" applyFont="1" applyAlignment="1" applyProtection="1">
      <alignment vertical="center"/>
      <protection hidden="1"/>
    </xf>
    <xf numFmtId="3" fontId="30" fillId="0" borderId="0" xfId="0" applyNumberFormat="1" applyFont="1" applyAlignment="1" applyProtection="1">
      <alignment horizontal="right" vertical="center"/>
      <protection hidden="1"/>
    </xf>
    <xf numFmtId="3" fontId="30" fillId="0" borderId="0" xfId="0" applyNumberFormat="1" applyFont="1" applyAlignment="1" applyProtection="1">
      <alignment vertical="center"/>
      <protection hidden="1"/>
    </xf>
    <xf numFmtId="0" fontId="43" fillId="8" borderId="0" xfId="0" applyFont="1" applyFill="1" applyAlignment="1" applyProtection="1">
      <alignment vertical="center"/>
      <protection hidden="1"/>
    </xf>
    <xf numFmtId="0" fontId="48" fillId="8" borderId="0" xfId="0" applyFont="1" applyFill="1" applyAlignment="1" applyProtection="1">
      <alignment vertical="center"/>
      <protection hidden="1"/>
    </xf>
    <xf numFmtId="0" fontId="41" fillId="0" borderId="0" xfId="0" applyFont="1" applyAlignment="1" applyProtection="1">
      <alignment vertical="center"/>
      <protection hidden="1"/>
    </xf>
    <xf numFmtId="0" fontId="46" fillId="8" borderId="0" xfId="0" applyFont="1" applyFill="1" applyAlignment="1" applyProtection="1">
      <alignment horizontal="center" vertical="center"/>
      <protection hidden="1"/>
    </xf>
    <xf numFmtId="0" fontId="48" fillId="8" borderId="0" xfId="0" applyFont="1" applyFill="1" applyAlignment="1" applyProtection="1">
      <alignment horizontal="center" vertical="center"/>
      <protection hidden="1"/>
    </xf>
    <xf numFmtId="49" fontId="46" fillId="8" borderId="0" xfId="0" applyNumberFormat="1" applyFont="1" applyFill="1" applyAlignment="1" applyProtection="1">
      <alignment horizontal="right" vertical="center"/>
      <protection hidden="1"/>
    </xf>
    <xf numFmtId="49" fontId="75" fillId="8" borderId="0" xfId="0" applyNumberFormat="1" applyFont="1" applyFill="1" applyAlignment="1" applyProtection="1">
      <alignment horizontal="right" vertical="center"/>
      <protection hidden="1"/>
    </xf>
    <xf numFmtId="0" fontId="35" fillId="4" borderId="5" xfId="0" applyFont="1" applyFill="1" applyBorder="1" applyAlignment="1" applyProtection="1">
      <alignment horizontal="center" vertical="center" wrapText="1"/>
      <protection locked="0"/>
    </xf>
    <xf numFmtId="0" fontId="35" fillId="4" borderId="5" xfId="0" applyFont="1" applyFill="1" applyBorder="1" applyAlignment="1" applyProtection="1">
      <alignment vertical="center" wrapText="1"/>
      <protection locked="0"/>
    </xf>
    <xf numFmtId="0" fontId="35" fillId="4" borderId="5" xfId="0" applyFont="1" applyFill="1" applyBorder="1" applyAlignment="1" applyProtection="1">
      <alignment vertical="center" wrapText="1"/>
      <protection hidden="1"/>
    </xf>
    <xf numFmtId="0" fontId="38" fillId="4" borderId="7" xfId="0" applyFont="1" applyFill="1" applyBorder="1" applyAlignment="1" applyProtection="1">
      <alignment vertical="top" wrapText="1"/>
      <protection hidden="1"/>
    </xf>
    <xf numFmtId="0" fontId="35" fillId="4" borderId="7" xfId="0" applyFont="1" applyFill="1" applyBorder="1" applyAlignment="1" applyProtection="1">
      <alignment vertical="center" wrapText="1"/>
      <protection hidden="1"/>
    </xf>
    <xf numFmtId="0" fontId="38" fillId="4" borderId="8" xfId="0" applyFont="1" applyFill="1" applyBorder="1" applyAlignment="1" applyProtection="1">
      <alignment vertical="top" wrapText="1"/>
      <protection hidden="1"/>
    </xf>
    <xf numFmtId="0" fontId="24" fillId="4" borderId="0" xfId="0" applyFont="1" applyFill="1" applyAlignment="1" applyProtection="1">
      <alignment vertical="center"/>
      <protection hidden="1"/>
    </xf>
    <xf numFmtId="0" fontId="5" fillId="4" borderId="0" xfId="0" applyFont="1" applyFill="1" applyAlignment="1" applyProtection="1">
      <alignment vertical="top" wrapText="1"/>
      <protection hidden="1"/>
    </xf>
    <xf numFmtId="0" fontId="0" fillId="4" borderId="0" xfId="0" applyFill="1" applyAlignment="1" applyProtection="1">
      <alignment vertical="top" wrapText="1"/>
      <protection hidden="1"/>
    </xf>
    <xf numFmtId="169" fontId="24" fillId="6" borderId="1" xfId="1" applyNumberFormat="1" applyFont="1" applyFill="1" applyBorder="1" applyAlignment="1" applyProtection="1">
      <alignment horizontal="center"/>
      <protection hidden="1"/>
    </xf>
    <xf numFmtId="0" fontId="63" fillId="0" borderId="0" xfId="0" applyFont="1" applyAlignment="1" applyProtection="1">
      <alignment horizontal="right" vertical="center"/>
      <protection hidden="1"/>
    </xf>
    <xf numFmtId="0" fontId="47" fillId="8" borderId="0" xfId="0" applyFont="1" applyFill="1" applyAlignment="1" applyProtection="1">
      <alignment horizontal="center" vertical="center"/>
      <protection hidden="1"/>
    </xf>
    <xf numFmtId="0" fontId="47" fillId="8" borderId="0" xfId="0" applyFont="1" applyFill="1" applyAlignment="1" applyProtection="1">
      <alignment horizontal="center" vertical="center" textRotation="90"/>
      <protection hidden="1"/>
    </xf>
    <xf numFmtId="0" fontId="44" fillId="8" borderId="0" xfId="0" applyFont="1" applyFill="1" applyAlignment="1" applyProtection="1">
      <alignment horizontal="center" vertical="center" wrapText="1"/>
      <protection hidden="1"/>
    </xf>
    <xf numFmtId="0" fontId="49" fillId="0" borderId="0" xfId="0" applyFont="1" applyAlignment="1" applyProtection="1">
      <alignment horizontal="center" vertical="center"/>
      <protection hidden="1"/>
    </xf>
    <xf numFmtId="0" fontId="49" fillId="0" borderId="0" xfId="0" applyFont="1" applyAlignment="1" applyProtection="1">
      <alignment horizontal="center" vertical="center" wrapText="1"/>
      <protection hidden="1"/>
    </xf>
    <xf numFmtId="3" fontId="76" fillId="9" borderId="0" xfId="0" applyNumberFormat="1" applyFont="1" applyFill="1" applyAlignment="1" applyProtection="1">
      <alignment horizontal="center" vertical="center" wrapText="1"/>
      <protection hidden="1"/>
    </xf>
    <xf numFmtId="49" fontId="45" fillId="9" borderId="0" xfId="0" applyNumberFormat="1" applyFont="1" applyFill="1" applyAlignment="1" applyProtection="1">
      <alignment horizontal="center" vertical="center" wrapText="1"/>
      <protection hidden="1"/>
    </xf>
    <xf numFmtId="0" fontId="77" fillId="9" borderId="0" xfId="0" applyFont="1" applyFill="1" applyAlignment="1" applyProtection="1">
      <alignment horizontal="center" vertical="center" wrapText="1"/>
      <protection hidden="1"/>
    </xf>
    <xf numFmtId="0" fontId="38" fillId="4" borderId="0" xfId="0" applyFont="1" applyFill="1" applyAlignment="1" applyProtection="1">
      <alignment horizontal="center" vertical="center" wrapText="1"/>
      <protection locked="0"/>
    </xf>
    <xf numFmtId="0" fontId="38" fillId="4" borderId="6" xfId="0" applyFont="1" applyFill="1" applyBorder="1" applyAlignment="1" applyProtection="1">
      <alignment horizontal="center" vertical="center" wrapText="1"/>
      <protection locked="0"/>
    </xf>
    <xf numFmtId="0" fontId="38" fillId="4" borderId="19" xfId="0" applyFont="1" applyFill="1" applyBorder="1" applyAlignment="1" applyProtection="1">
      <alignment horizontal="center" vertical="center" wrapText="1"/>
      <protection locked="0"/>
    </xf>
    <xf numFmtId="0" fontId="57" fillId="5" borderId="20" xfId="0" applyFont="1" applyFill="1" applyBorder="1" applyAlignment="1" applyProtection="1">
      <alignment horizontal="center" vertical="center" wrapText="1"/>
      <protection hidden="1"/>
    </xf>
    <xf numFmtId="0" fontId="57" fillId="5" borderId="1" xfId="0" applyFont="1" applyFill="1" applyBorder="1" applyAlignment="1" applyProtection="1">
      <alignment horizontal="center" vertical="center" wrapText="1"/>
      <protection hidden="1"/>
    </xf>
    <xf numFmtId="0" fontId="57" fillId="5" borderId="58" xfId="0" applyFont="1" applyFill="1" applyBorder="1" applyAlignment="1" applyProtection="1">
      <alignment horizontal="center" vertical="center" wrapText="1"/>
      <protection hidden="1"/>
    </xf>
    <xf numFmtId="0" fontId="57" fillId="5" borderId="39" xfId="0" applyFont="1" applyFill="1" applyBorder="1" applyAlignment="1" applyProtection="1">
      <alignment horizontal="center" vertical="center" wrapText="1"/>
      <protection hidden="1"/>
    </xf>
    <xf numFmtId="164" fontId="26" fillId="5" borderId="28" xfId="0" applyNumberFormat="1" applyFont="1" applyFill="1" applyBorder="1" applyAlignment="1" applyProtection="1">
      <alignment horizontal="center" vertical="center"/>
      <protection hidden="1"/>
    </xf>
    <xf numFmtId="164" fontId="26" fillId="5" borderId="40" xfId="0" applyNumberFormat="1" applyFont="1" applyFill="1" applyBorder="1" applyAlignment="1" applyProtection="1">
      <alignment horizontal="center" vertical="center"/>
      <protection hidden="1"/>
    </xf>
    <xf numFmtId="0" fontId="28" fillId="10" borderId="20" xfId="0" applyFont="1" applyFill="1" applyBorder="1" applyAlignment="1">
      <alignment horizontal="left" vertical="center" wrapText="1"/>
    </xf>
    <xf numFmtId="0" fontId="28" fillId="10" borderId="1" xfId="0" applyFont="1" applyFill="1" applyBorder="1" applyAlignment="1">
      <alignment horizontal="left" vertical="center" wrapText="1"/>
    </xf>
    <xf numFmtId="0" fontId="30" fillId="10" borderId="35" xfId="0" applyFont="1" applyFill="1" applyBorder="1" applyAlignment="1">
      <alignment horizontal="left" vertical="center" wrapText="1"/>
    </xf>
    <xf numFmtId="0" fontId="30" fillId="10" borderId="48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wrapText="1"/>
      <protection hidden="1"/>
    </xf>
    <xf numFmtId="0" fontId="51" fillId="14" borderId="1" xfId="0" applyFont="1" applyFill="1" applyBorder="1" applyAlignment="1" applyProtection="1">
      <alignment horizontal="center" vertical="center" wrapText="1"/>
      <protection locked="0"/>
    </xf>
    <xf numFmtId="0" fontId="66" fillId="4" borderId="0" xfId="0" applyFont="1" applyFill="1" applyAlignment="1" applyProtection="1">
      <alignment horizontal="center" vertical="center" wrapText="1"/>
      <protection hidden="1"/>
    </xf>
    <xf numFmtId="0" fontId="66" fillId="4" borderId="6" xfId="0" applyFont="1" applyFill="1" applyBorder="1" applyAlignment="1" applyProtection="1">
      <alignment horizontal="center" vertical="center" wrapText="1"/>
      <protection hidden="1"/>
    </xf>
    <xf numFmtId="0" fontId="30" fillId="3" borderId="22" xfId="0" applyFont="1" applyFill="1" applyBorder="1" applyAlignment="1" applyProtection="1">
      <alignment horizontal="center" vertical="center"/>
      <protection hidden="1"/>
    </xf>
    <xf numFmtId="0" fontId="30" fillId="3" borderId="3" xfId="0" applyFont="1" applyFill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35" xfId="0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24" fillId="3" borderId="57" xfId="0" applyFont="1" applyFill="1" applyBorder="1" applyAlignment="1" applyProtection="1">
      <alignment horizontal="center" vertical="center"/>
      <protection hidden="1"/>
    </xf>
    <xf numFmtId="0" fontId="24" fillId="3" borderId="26" xfId="0" applyFont="1" applyFill="1" applyBorder="1" applyAlignment="1" applyProtection="1">
      <alignment horizontal="center" vertical="center"/>
      <protection hidden="1"/>
    </xf>
    <xf numFmtId="0" fontId="24" fillId="3" borderId="27" xfId="0" applyFont="1" applyFill="1" applyBorder="1" applyAlignment="1" applyProtection="1">
      <alignment horizontal="center" vertical="center"/>
      <protection hidden="1"/>
    </xf>
    <xf numFmtId="0" fontId="62" fillId="4" borderId="7" xfId="0" applyFont="1" applyFill="1" applyBorder="1" applyAlignment="1" applyProtection="1">
      <alignment horizontal="center" vertical="center" wrapText="1"/>
      <protection hidden="1"/>
    </xf>
    <xf numFmtId="0" fontId="62" fillId="4" borderId="8" xfId="0" applyFont="1" applyFill="1" applyBorder="1" applyAlignment="1" applyProtection="1">
      <alignment horizontal="center" vertical="center" wrapText="1"/>
      <protection hidden="1"/>
    </xf>
    <xf numFmtId="0" fontId="62" fillId="4" borderId="0" xfId="0" applyFont="1" applyFill="1" applyAlignment="1" applyProtection="1">
      <alignment horizontal="right" vertical="center" wrapText="1"/>
      <protection locked="0"/>
    </xf>
    <xf numFmtId="0" fontId="27" fillId="11" borderId="14" xfId="0" applyFont="1" applyFill="1" applyBorder="1" applyAlignment="1" applyProtection="1">
      <alignment horizontal="center" vertical="center"/>
      <protection hidden="1"/>
    </xf>
    <xf numFmtId="0" fontId="27" fillId="11" borderId="15" xfId="0" applyFont="1" applyFill="1" applyBorder="1" applyAlignment="1" applyProtection="1">
      <alignment horizontal="center" vertical="center"/>
      <protection hidden="1"/>
    </xf>
    <xf numFmtId="0" fontId="27" fillId="11" borderId="16" xfId="0" applyFont="1" applyFill="1" applyBorder="1" applyAlignment="1" applyProtection="1">
      <alignment horizontal="center" vertical="center"/>
      <protection hidden="1"/>
    </xf>
    <xf numFmtId="0" fontId="27" fillId="11" borderId="14" xfId="0" applyFont="1" applyFill="1" applyBorder="1" applyAlignment="1" applyProtection="1">
      <alignment horizontal="center" vertical="center"/>
      <protection locked="0"/>
    </xf>
    <xf numFmtId="0" fontId="27" fillId="11" borderId="15" xfId="0" applyFont="1" applyFill="1" applyBorder="1" applyAlignment="1" applyProtection="1">
      <alignment horizontal="center" vertical="center"/>
      <protection locked="0"/>
    </xf>
    <xf numFmtId="0" fontId="28" fillId="2" borderId="5" xfId="0" applyFont="1" applyFill="1" applyBorder="1" applyAlignment="1" applyProtection="1">
      <alignment horizontal="center" vertical="center" wrapText="1"/>
      <protection hidden="1"/>
    </xf>
    <xf numFmtId="0" fontId="28" fillId="2" borderId="0" xfId="0" applyFont="1" applyFill="1" applyAlignment="1" applyProtection="1">
      <alignment horizontal="center" vertical="center" wrapText="1"/>
      <protection hidden="1"/>
    </xf>
    <xf numFmtId="0" fontId="30" fillId="3" borderId="4" xfId="0" applyFont="1" applyFill="1" applyBorder="1" applyAlignment="1" applyProtection="1">
      <alignment horizontal="center" vertical="center"/>
      <protection hidden="1"/>
    </xf>
    <xf numFmtId="0" fontId="36" fillId="2" borderId="53" xfId="0" applyFont="1" applyFill="1" applyBorder="1" applyAlignment="1" applyProtection="1">
      <alignment horizontal="left" vertical="center" wrapText="1"/>
      <protection hidden="1"/>
    </xf>
    <xf numFmtId="0" fontId="36" fillId="2" borderId="50" xfId="0" applyFont="1" applyFill="1" applyBorder="1" applyAlignment="1" applyProtection="1">
      <alignment horizontal="left" vertical="center" wrapText="1"/>
      <protection hidden="1"/>
    </xf>
    <xf numFmtId="0" fontId="30" fillId="2" borderId="21" xfId="0" applyFont="1" applyFill="1" applyBorder="1" applyAlignment="1" applyProtection="1">
      <alignment horizontal="center" wrapText="1"/>
      <protection hidden="1"/>
    </xf>
    <xf numFmtId="0" fontId="30" fillId="2" borderId="11" xfId="0" applyFont="1" applyFill="1" applyBorder="1" applyAlignment="1" applyProtection="1">
      <alignment horizontal="center" wrapText="1"/>
      <protection hidden="1"/>
    </xf>
    <xf numFmtId="0" fontId="30" fillId="2" borderId="5" xfId="0" applyFont="1" applyFill="1" applyBorder="1" applyAlignment="1" applyProtection="1">
      <alignment horizontal="center" wrapText="1"/>
      <protection hidden="1"/>
    </xf>
    <xf numFmtId="0" fontId="30" fillId="2" borderId="0" xfId="0" applyFont="1" applyFill="1" applyAlignment="1" applyProtection="1">
      <alignment horizontal="center" wrapText="1"/>
      <protection hidden="1"/>
    </xf>
    <xf numFmtId="0" fontId="36" fillId="3" borderId="22" xfId="0" applyFont="1" applyFill="1" applyBorder="1" applyAlignment="1" applyProtection="1">
      <alignment horizontal="center" vertical="center" wrapText="1"/>
      <protection hidden="1"/>
    </xf>
    <xf numFmtId="0" fontId="36" fillId="3" borderId="3" xfId="0" applyFont="1" applyFill="1" applyBorder="1" applyAlignment="1" applyProtection="1">
      <alignment horizontal="center" vertical="center" wrapText="1"/>
      <protection hidden="1"/>
    </xf>
    <xf numFmtId="4" fontId="56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56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20" xfId="0" applyFont="1" applyFill="1" applyBorder="1" applyAlignment="1" applyProtection="1">
      <alignment horizontal="center" vertical="center" wrapText="1"/>
      <protection hidden="1"/>
    </xf>
    <xf numFmtId="0" fontId="28" fillId="3" borderId="1" xfId="0" applyFont="1" applyFill="1" applyBorder="1" applyAlignment="1" applyProtection="1">
      <alignment horizontal="center" vertical="center" wrapText="1"/>
      <protection hidden="1"/>
    </xf>
    <xf numFmtId="0" fontId="36" fillId="4" borderId="5" xfId="0" applyFont="1" applyFill="1" applyBorder="1" applyAlignment="1" applyProtection="1">
      <alignment horizontal="center" vertical="center"/>
      <protection hidden="1"/>
    </xf>
    <xf numFmtId="0" fontId="36" fillId="4" borderId="0" xfId="0" applyFont="1" applyFill="1" applyAlignment="1" applyProtection="1">
      <alignment horizontal="center" vertical="center"/>
      <protection hidden="1"/>
    </xf>
    <xf numFmtId="0" fontId="36" fillId="4" borderId="35" xfId="0" applyFont="1" applyFill="1" applyBorder="1" applyAlignment="1" applyProtection="1">
      <alignment horizontal="center" vertical="center"/>
      <protection hidden="1"/>
    </xf>
    <xf numFmtId="0" fontId="36" fillId="4" borderId="13" xfId="0" applyFont="1" applyFill="1" applyBorder="1" applyAlignment="1" applyProtection="1">
      <alignment horizontal="center" vertical="center"/>
      <protection hidden="1"/>
    </xf>
    <xf numFmtId="0" fontId="28" fillId="3" borderId="22" xfId="0" applyFont="1" applyFill="1" applyBorder="1" applyAlignment="1" applyProtection="1">
      <alignment horizontal="left" vertical="center"/>
      <protection hidden="1"/>
    </xf>
    <xf numFmtId="0" fontId="28" fillId="3" borderId="3" xfId="0" applyFont="1" applyFill="1" applyBorder="1" applyAlignment="1" applyProtection="1">
      <alignment horizontal="left" vertical="center"/>
      <protection hidden="1"/>
    </xf>
    <xf numFmtId="0" fontId="30" fillId="12" borderId="22" xfId="0" applyFont="1" applyFill="1" applyBorder="1" applyAlignment="1" applyProtection="1">
      <alignment horizontal="left" vertical="center"/>
      <protection hidden="1"/>
    </xf>
    <xf numFmtId="0" fontId="30" fillId="12" borderId="3" xfId="0" applyFont="1" applyFill="1" applyBorder="1" applyAlignment="1" applyProtection="1">
      <alignment horizontal="left" vertical="center"/>
      <protection hidden="1"/>
    </xf>
    <xf numFmtId="0" fontId="30" fillId="10" borderId="22" xfId="0" applyFont="1" applyFill="1" applyBorder="1" applyAlignment="1">
      <alignment horizontal="left" vertical="center"/>
    </xf>
    <xf numFmtId="0" fontId="30" fillId="10" borderId="3" xfId="0" applyFont="1" applyFill="1" applyBorder="1" applyAlignment="1">
      <alignment horizontal="left" vertical="center"/>
    </xf>
    <xf numFmtId="0" fontId="34" fillId="4" borderId="2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27" fillId="11" borderId="16" xfId="0" applyFont="1" applyFill="1" applyBorder="1" applyAlignment="1" applyProtection="1">
      <alignment horizontal="center" vertical="center"/>
      <protection locked="0"/>
    </xf>
    <xf numFmtId="0" fontId="35" fillId="4" borderId="5" xfId="0" applyFont="1" applyFill="1" applyBorder="1" applyAlignment="1" applyProtection="1">
      <alignment horizontal="center" vertical="center" wrapText="1"/>
      <protection hidden="1"/>
    </xf>
    <xf numFmtId="0" fontId="35" fillId="4" borderId="0" xfId="0" applyFont="1" applyFill="1" applyAlignment="1" applyProtection="1">
      <alignment horizontal="center" vertical="center" wrapText="1"/>
      <protection hidden="1"/>
    </xf>
    <xf numFmtId="0" fontId="35" fillId="2" borderId="0" xfId="0" applyFont="1" applyFill="1" applyAlignment="1" applyProtection="1">
      <alignment horizontal="center" vertical="center" wrapText="1"/>
      <protection hidden="1"/>
    </xf>
    <xf numFmtId="0" fontId="30" fillId="10" borderId="29" xfId="0" applyFont="1" applyFill="1" applyBorder="1" applyAlignment="1">
      <alignment horizontal="left" vertical="center" wrapText="1"/>
    </xf>
    <xf numFmtId="0" fontId="30" fillId="10" borderId="30" xfId="0" applyFont="1" applyFill="1" applyBorder="1" applyAlignment="1">
      <alignment horizontal="left" vertical="center" wrapText="1"/>
    </xf>
    <xf numFmtId="0" fontId="35" fillId="4" borderId="5" xfId="0" applyFont="1" applyFill="1" applyBorder="1" applyAlignment="1" applyProtection="1">
      <alignment horizontal="center" vertical="center"/>
      <protection locked="0"/>
    </xf>
    <xf numFmtId="0" fontId="35" fillId="4" borderId="0" xfId="0" applyFont="1" applyFill="1" applyAlignment="1" applyProtection="1">
      <alignment horizontal="center" vertical="center"/>
      <protection locked="0"/>
    </xf>
    <xf numFmtId="0" fontId="30" fillId="10" borderId="37" xfId="0" applyFont="1" applyFill="1" applyBorder="1" applyAlignment="1">
      <alignment horizontal="left" vertical="center" wrapText="1"/>
    </xf>
    <xf numFmtId="0" fontId="30" fillId="10" borderId="38" xfId="0" applyFont="1" applyFill="1" applyBorder="1" applyAlignment="1">
      <alignment horizontal="left" vertical="center" wrapText="1"/>
    </xf>
    <xf numFmtId="0" fontId="35" fillId="4" borderId="15" xfId="0" applyFont="1" applyFill="1" applyBorder="1" applyAlignment="1" applyProtection="1">
      <alignment horizontal="center" vertical="center" wrapText="1"/>
      <protection hidden="1"/>
    </xf>
    <xf numFmtId="0" fontId="30" fillId="10" borderId="22" xfId="0" applyFont="1" applyFill="1" applyBorder="1" applyAlignment="1">
      <alignment horizontal="left" vertical="center" wrapText="1"/>
    </xf>
    <xf numFmtId="0" fontId="30" fillId="10" borderId="3" xfId="0" applyFont="1" applyFill="1" applyBorder="1" applyAlignment="1">
      <alignment horizontal="left" vertical="center" wrapText="1"/>
    </xf>
    <xf numFmtId="0" fontId="30" fillId="10" borderId="21" xfId="0" applyFont="1" applyFill="1" applyBorder="1" applyAlignment="1">
      <alignment horizontal="left" vertical="center" wrapText="1"/>
    </xf>
    <xf numFmtId="0" fontId="30" fillId="10" borderId="33" xfId="0" applyFont="1" applyFill="1" applyBorder="1" applyAlignment="1">
      <alignment horizontal="left" vertical="center" wrapText="1"/>
    </xf>
    <xf numFmtId="0" fontId="30" fillId="10" borderId="17" xfId="0" applyFont="1" applyFill="1" applyBorder="1" applyAlignment="1">
      <alignment horizontal="left" vertical="center" wrapText="1"/>
    </xf>
    <xf numFmtId="0" fontId="30" fillId="10" borderId="54" xfId="0" applyFont="1" applyFill="1" applyBorder="1" applyAlignment="1">
      <alignment horizontal="left" vertical="center" wrapText="1"/>
    </xf>
    <xf numFmtId="0" fontId="27" fillId="12" borderId="9" xfId="0" applyFont="1" applyFill="1" applyBorder="1" applyAlignment="1">
      <alignment horizontal="center" vertical="center"/>
    </xf>
    <xf numFmtId="0" fontId="27" fillId="12" borderId="18" xfId="0" applyFont="1" applyFill="1" applyBorder="1" applyAlignment="1">
      <alignment horizontal="center" vertical="center"/>
    </xf>
    <xf numFmtId="0" fontId="27" fillId="12" borderId="44" xfId="0" applyFont="1" applyFill="1" applyBorder="1" applyAlignment="1">
      <alignment horizontal="center" vertical="center"/>
    </xf>
    <xf numFmtId="0" fontId="38" fillId="4" borderId="22" xfId="0" applyFont="1" applyFill="1" applyBorder="1" applyAlignment="1" applyProtection="1">
      <alignment horizontal="center" vertical="center"/>
      <protection locked="0"/>
    </xf>
    <xf numFmtId="0" fontId="38" fillId="4" borderId="4" xfId="0" applyFont="1" applyFill="1" applyBorder="1" applyAlignment="1" applyProtection="1">
      <alignment horizontal="center" vertical="center"/>
      <protection locked="0"/>
    </xf>
    <xf numFmtId="0" fontId="62" fillId="0" borderId="0" xfId="0" applyFont="1" applyAlignment="1" applyProtection="1">
      <alignment horizontal="left" vertical="center"/>
      <protection locked="0"/>
    </xf>
    <xf numFmtId="0" fontId="62" fillId="4" borderId="0" xfId="0" applyFont="1" applyFill="1" applyAlignment="1" applyProtection="1">
      <alignment horizontal="left" vertical="top" wrapText="1"/>
      <protection hidden="1"/>
    </xf>
    <xf numFmtId="0" fontId="62" fillId="4" borderId="6" xfId="0" applyFont="1" applyFill="1" applyBorder="1" applyAlignment="1" applyProtection="1">
      <alignment horizontal="left" vertical="top" wrapText="1"/>
      <protection hidden="1"/>
    </xf>
    <xf numFmtId="0" fontId="61" fillId="4" borderId="0" xfId="0" applyFont="1" applyFill="1" applyAlignment="1" applyProtection="1">
      <alignment horizontal="center" vertical="center"/>
      <protection locked="0"/>
    </xf>
    <xf numFmtId="0" fontId="60" fillId="4" borderId="0" xfId="0" applyFont="1" applyFill="1" applyAlignment="1" applyProtection="1">
      <alignment horizontal="center" vertical="top" wrapText="1"/>
      <protection hidden="1"/>
    </xf>
    <xf numFmtId="0" fontId="60" fillId="4" borderId="7" xfId="0" applyFont="1" applyFill="1" applyBorder="1" applyAlignment="1" applyProtection="1">
      <alignment horizontal="center" vertical="top" wrapText="1"/>
      <protection hidden="1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62" fillId="4" borderId="5" xfId="0" applyFont="1" applyFill="1" applyBorder="1" applyAlignment="1" applyProtection="1">
      <alignment horizontal="left" vertical="top" wrapText="1"/>
      <protection hidden="1"/>
    </xf>
    <xf numFmtId="0" fontId="62" fillId="4" borderId="17" xfId="0" applyFont="1" applyFill="1" applyBorder="1" applyAlignment="1" applyProtection="1">
      <alignment horizontal="left" vertical="top" wrapText="1"/>
      <protection hidden="1"/>
    </xf>
    <xf numFmtId="0" fontId="62" fillId="4" borderId="7" xfId="0" applyFont="1" applyFill="1" applyBorder="1" applyAlignment="1" applyProtection="1">
      <alignment horizontal="left" vertical="top" wrapText="1"/>
      <protection hidden="1"/>
    </xf>
    <xf numFmtId="0" fontId="30" fillId="4" borderId="0" xfId="0" applyFont="1" applyFill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27" fillId="10" borderId="14" xfId="0" applyFont="1" applyFill="1" applyBorder="1" applyAlignment="1">
      <alignment horizontal="center" vertical="center"/>
    </xf>
    <xf numFmtId="0" fontId="27" fillId="10" borderId="15" xfId="0" applyFont="1" applyFill="1" applyBorder="1" applyAlignment="1">
      <alignment horizontal="center" vertical="center"/>
    </xf>
    <xf numFmtId="0" fontId="27" fillId="10" borderId="16" xfId="0" applyFont="1" applyFill="1" applyBorder="1" applyAlignment="1">
      <alignment horizontal="center" vertical="center"/>
    </xf>
    <xf numFmtId="0" fontId="38" fillId="4" borderId="5" xfId="0" applyFont="1" applyFill="1" applyBorder="1" applyAlignment="1" applyProtection="1">
      <alignment horizontal="left" vertical="center" wrapText="1"/>
      <protection hidden="1"/>
    </xf>
    <xf numFmtId="0" fontId="38" fillId="4" borderId="0" xfId="0" applyFont="1" applyFill="1" applyAlignment="1" applyProtection="1">
      <alignment horizontal="left" vertical="center" wrapText="1"/>
      <protection hidden="1"/>
    </xf>
    <xf numFmtId="0" fontId="38" fillId="4" borderId="17" xfId="0" applyFont="1" applyFill="1" applyBorder="1" applyAlignment="1" applyProtection="1">
      <alignment horizontal="left" vertical="center" wrapText="1"/>
      <protection hidden="1"/>
    </xf>
    <xf numFmtId="0" fontId="38" fillId="4" borderId="7" xfId="0" applyFont="1" applyFill="1" applyBorder="1" applyAlignment="1" applyProtection="1">
      <alignment horizontal="left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3" fillId="2" borderId="5" xfId="0" applyFont="1" applyFill="1" applyBorder="1" applyAlignment="1" applyProtection="1">
      <alignment horizontal="center" vertical="center" wrapText="1"/>
      <protection hidden="1"/>
    </xf>
    <xf numFmtId="0" fontId="33" fillId="2" borderId="0" xfId="0" applyFont="1" applyFill="1" applyAlignment="1" applyProtection="1">
      <alignment horizontal="center" vertical="center" wrapText="1"/>
      <protection hidden="1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2" fillId="4" borderId="0" xfId="0" applyFont="1" applyFill="1" applyAlignment="1" applyProtection="1">
      <alignment horizontal="center" vertical="center" wrapText="1"/>
      <protection locked="0"/>
    </xf>
    <xf numFmtId="0" fontId="62" fillId="4" borderId="13" xfId="0" applyFont="1" applyFill="1" applyBorder="1" applyAlignment="1" applyProtection="1">
      <alignment horizontal="center" vertical="center" wrapText="1"/>
      <protection locked="0"/>
    </xf>
    <xf numFmtId="0" fontId="27" fillId="4" borderId="0" xfId="0" applyFont="1" applyFill="1" applyAlignment="1" applyProtection="1">
      <alignment horizontal="center"/>
      <protection hidden="1"/>
    </xf>
    <xf numFmtId="0" fontId="24" fillId="4" borderId="0" xfId="0" applyFont="1" applyFill="1" applyAlignment="1" applyProtection="1">
      <alignment horizontal="center" vertical="center"/>
      <protection hidden="1"/>
    </xf>
    <xf numFmtId="0" fontId="26" fillId="4" borderId="0" xfId="0" applyFont="1" applyFill="1" applyAlignment="1" applyProtection="1">
      <alignment horizontal="center" vertical="center"/>
      <protection hidden="1"/>
    </xf>
    <xf numFmtId="0" fontId="26" fillId="4" borderId="0" xfId="0" applyFont="1" applyFill="1" applyAlignment="1" applyProtection="1">
      <alignment horizontal="center" vertical="center"/>
      <protection locked="0"/>
    </xf>
    <xf numFmtId="0" fontId="38" fillId="4" borderId="0" xfId="0" applyFont="1" applyFill="1" applyAlignment="1" applyProtection="1">
      <alignment horizontal="left" vertical="top" wrapText="1"/>
      <protection hidden="1"/>
    </xf>
    <xf numFmtId="0" fontId="24" fillId="4" borderId="5" xfId="0" applyFont="1" applyFill="1" applyBorder="1" applyAlignment="1" applyProtection="1">
      <alignment horizontal="center" vertical="center" wrapText="1"/>
      <protection hidden="1"/>
    </xf>
    <xf numFmtId="0" fontId="24" fillId="4" borderId="0" xfId="0" applyFont="1" applyFill="1" applyAlignment="1" applyProtection="1">
      <alignment horizontal="center" vertical="center" wrapText="1"/>
      <protection hidden="1"/>
    </xf>
    <xf numFmtId="0" fontId="27" fillId="4" borderId="5" xfId="0" applyFont="1" applyFill="1" applyBorder="1" applyAlignment="1" applyProtection="1">
      <alignment horizontal="center"/>
      <protection hidden="1"/>
    </xf>
    <xf numFmtId="0" fontId="27" fillId="4" borderId="0" xfId="0" applyFont="1" applyFill="1" applyAlignment="1" applyProtection="1">
      <alignment horizontal="center" vertical="top" wrapText="1"/>
      <protection hidden="1"/>
    </xf>
    <xf numFmtId="0" fontId="5" fillId="4" borderId="0" xfId="0" applyFont="1" applyFill="1" applyAlignment="1" applyProtection="1">
      <alignment horizontal="left" vertical="top" wrapText="1"/>
      <protection hidden="1"/>
    </xf>
    <xf numFmtId="0" fontId="0" fillId="4" borderId="0" xfId="0" applyFill="1" applyAlignment="1" applyProtection="1">
      <alignment horizontal="left" vertical="top" wrapText="1"/>
      <protection hidden="1"/>
    </xf>
    <xf numFmtId="0" fontId="10" fillId="4" borderId="0" xfId="0" applyFont="1" applyFill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35" fillId="4" borderId="11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35" fillId="4" borderId="0" xfId="0" applyFont="1" applyFill="1" applyAlignment="1" applyProtection="1">
      <alignment horizontal="center" wrapText="1"/>
      <protection locked="0"/>
    </xf>
    <xf numFmtId="0" fontId="35" fillId="4" borderId="19" xfId="0" applyFont="1" applyFill="1" applyBorder="1" applyAlignment="1" applyProtection="1">
      <alignment horizontal="center" vertical="center" wrapText="1"/>
      <protection locked="0"/>
    </xf>
    <xf numFmtId="0" fontId="35" fillId="4" borderId="0" xfId="0" applyFont="1" applyFill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27" fillId="4" borderId="0" xfId="0" applyFont="1" applyFill="1" applyAlignment="1" applyProtection="1">
      <alignment horizontal="center" vertical="center"/>
      <protection hidden="1"/>
    </xf>
    <xf numFmtId="0" fontId="62" fillId="4" borderId="0" xfId="0" applyFont="1" applyFill="1" applyAlignment="1" applyProtection="1">
      <alignment horizontal="right" vertical="center" wrapText="1"/>
      <protection hidden="1"/>
    </xf>
    <xf numFmtId="0" fontId="24" fillId="4" borderId="0" xfId="0" applyFont="1" applyFill="1" applyAlignment="1" applyProtection="1">
      <alignment horizontal="left" vertical="center" wrapText="1"/>
      <protection hidden="1"/>
    </xf>
    <xf numFmtId="0" fontId="62" fillId="4" borderId="7" xfId="0" applyFont="1" applyFill="1" applyBorder="1" applyAlignment="1" applyProtection="1">
      <alignment horizontal="right" vertical="center" wrapText="1"/>
      <protection hidden="1"/>
    </xf>
    <xf numFmtId="0" fontId="35" fillId="4" borderId="15" xfId="0" applyFont="1" applyFill="1" applyBorder="1" applyAlignment="1" applyProtection="1">
      <alignment horizontal="left" vertical="center" wrapText="1"/>
      <protection hidden="1"/>
    </xf>
    <xf numFmtId="0" fontId="35" fillId="4" borderId="0" xfId="0" applyFont="1" applyFill="1" applyAlignment="1" applyProtection="1">
      <alignment horizontal="left" vertical="center" wrapText="1"/>
      <protection hidden="1"/>
    </xf>
    <xf numFmtId="0" fontId="62" fillId="4" borderId="0" xfId="0" applyFont="1" applyFill="1" applyAlignment="1" applyProtection="1">
      <alignment horizontal="left" vertical="center" wrapText="1"/>
      <protection hidden="1"/>
    </xf>
    <xf numFmtId="0" fontId="28" fillId="6" borderId="2" xfId="0" applyFont="1" applyFill="1" applyBorder="1" applyAlignment="1" applyProtection="1">
      <alignment horizontal="center" vertical="center"/>
      <protection hidden="1"/>
    </xf>
    <xf numFmtId="0" fontId="28" fillId="6" borderId="3" xfId="0" applyFont="1" applyFill="1" applyBorder="1" applyAlignment="1" applyProtection="1">
      <alignment horizontal="center" vertical="center"/>
      <protection hidden="1"/>
    </xf>
    <xf numFmtId="0" fontId="34" fillId="4" borderId="0" xfId="0" applyFont="1" applyFill="1" applyAlignment="1" applyProtection="1">
      <alignment horizontal="center" vertical="center"/>
      <protection hidden="1"/>
    </xf>
    <xf numFmtId="0" fontId="34" fillId="4" borderId="0" xfId="0" applyFont="1" applyFill="1" applyAlignment="1" applyProtection="1">
      <alignment horizontal="center" vertical="center" wrapText="1"/>
      <protection hidden="1"/>
    </xf>
    <xf numFmtId="0" fontId="35" fillId="4" borderId="11" xfId="0" applyFont="1" applyFill="1" applyBorder="1" applyAlignment="1" applyProtection="1">
      <alignment horizontal="center"/>
      <protection hidden="1"/>
    </xf>
    <xf numFmtId="0" fontId="28" fillId="3" borderId="22" xfId="0" applyFont="1" applyFill="1" applyBorder="1" applyAlignment="1" applyProtection="1">
      <alignment horizontal="center" vertical="center" wrapText="1"/>
      <protection hidden="1"/>
    </xf>
    <xf numFmtId="0" fontId="28" fillId="3" borderId="3" xfId="0" applyFont="1" applyFill="1" applyBorder="1" applyAlignment="1" applyProtection="1">
      <alignment horizontal="center" vertical="center" wrapText="1"/>
      <protection hidden="1"/>
    </xf>
    <xf numFmtId="0" fontId="64" fillId="4" borderId="21" xfId="0" applyFont="1" applyFill="1" applyBorder="1" applyAlignment="1" applyProtection="1">
      <alignment horizontal="left" vertical="center" wrapText="1"/>
      <protection hidden="1"/>
    </xf>
    <xf numFmtId="0" fontId="64" fillId="4" borderId="11" xfId="0" applyFont="1" applyFill="1" applyBorder="1" applyAlignment="1" applyProtection="1">
      <alignment horizontal="left" vertical="center" wrapText="1"/>
      <protection hidden="1"/>
    </xf>
    <xf numFmtId="0" fontId="64" fillId="4" borderId="5" xfId="0" applyFont="1" applyFill="1" applyBorder="1" applyAlignment="1" applyProtection="1">
      <alignment horizontal="left" vertical="center" wrapText="1"/>
      <protection hidden="1"/>
    </xf>
    <xf numFmtId="0" fontId="64" fillId="4" borderId="0" xfId="0" applyFont="1" applyFill="1" applyAlignment="1" applyProtection="1">
      <alignment horizontal="left" vertical="center" wrapText="1"/>
      <protection hidden="1"/>
    </xf>
    <xf numFmtId="0" fontId="2" fillId="4" borderId="0" xfId="0" applyFont="1" applyFill="1" applyAlignment="1" applyProtection="1">
      <alignment horizontal="center" vertical="top" wrapText="1"/>
      <protection hidden="1"/>
    </xf>
    <xf numFmtId="0" fontId="34" fillId="4" borderId="0" xfId="0" applyFont="1" applyFill="1" applyAlignment="1" applyProtection="1">
      <alignment horizontal="center" vertical="top" wrapText="1"/>
      <protection hidden="1"/>
    </xf>
    <xf numFmtId="0" fontId="30" fillId="4" borderId="0" xfId="0" applyFont="1" applyFill="1" applyAlignment="1" applyProtection="1">
      <alignment horizontal="left" vertical="center" wrapText="1"/>
      <protection hidden="1"/>
    </xf>
    <xf numFmtId="0" fontId="36" fillId="12" borderId="1" xfId="0" applyFont="1" applyFill="1" applyBorder="1" applyAlignment="1" applyProtection="1">
      <alignment horizontal="center" vertical="center" wrapText="1"/>
      <protection hidden="1"/>
    </xf>
    <xf numFmtId="4" fontId="36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3" fillId="4" borderId="21" xfId="0" applyFont="1" applyFill="1" applyBorder="1" applyAlignment="1" applyProtection="1">
      <alignment horizontal="center" vertical="center" wrapText="1"/>
      <protection hidden="1"/>
    </xf>
    <xf numFmtId="0" fontId="33" fillId="4" borderId="11" xfId="0" applyFont="1" applyFill="1" applyBorder="1" applyAlignment="1" applyProtection="1">
      <alignment horizontal="center" vertical="center" wrapText="1"/>
      <protection hidden="1"/>
    </xf>
    <xf numFmtId="0" fontId="28" fillId="6" borderId="20" xfId="0" applyFont="1" applyFill="1" applyBorder="1" applyAlignment="1" applyProtection="1">
      <alignment horizontal="left" vertical="center"/>
      <protection hidden="1"/>
    </xf>
    <xf numFmtId="0" fontId="28" fillId="6" borderId="1" xfId="0" applyFont="1" applyFill="1" applyBorder="1" applyAlignment="1" applyProtection="1">
      <alignment horizontal="left" vertical="center"/>
      <protection hidden="1"/>
    </xf>
    <xf numFmtId="0" fontId="34" fillId="4" borderId="4" xfId="0" applyFont="1" applyFill="1" applyBorder="1" applyAlignment="1" applyProtection="1">
      <alignment horizontal="center" vertical="center"/>
      <protection hidden="1"/>
    </xf>
    <xf numFmtId="0" fontId="34" fillId="4" borderId="3" xfId="0" applyFont="1" applyFill="1" applyBorder="1" applyAlignment="1" applyProtection="1">
      <alignment horizontal="center" vertical="center"/>
      <protection hidden="1"/>
    </xf>
    <xf numFmtId="0" fontId="62" fillId="4" borderId="4" xfId="0" applyFont="1" applyFill="1" applyBorder="1" applyAlignment="1" applyProtection="1">
      <alignment horizontal="center" vertical="center"/>
      <protection hidden="1"/>
    </xf>
    <xf numFmtId="0" fontId="34" fillId="4" borderId="13" xfId="0" applyFont="1" applyFill="1" applyBorder="1" applyAlignment="1" applyProtection="1">
      <alignment horizontal="center" vertical="center"/>
      <protection hidden="1"/>
    </xf>
    <xf numFmtId="0" fontId="51" fillId="14" borderId="1" xfId="0" applyFont="1" applyFill="1" applyBorder="1" applyAlignment="1" applyProtection="1">
      <alignment horizontal="center" vertical="center" wrapText="1"/>
      <protection locked="0" hidden="1"/>
    </xf>
    <xf numFmtId="0" fontId="38" fillId="5" borderId="22" xfId="0" applyFont="1" applyFill="1" applyBorder="1" applyAlignment="1" applyProtection="1">
      <alignment horizontal="left" vertical="center" wrapText="1"/>
      <protection hidden="1"/>
    </xf>
    <xf numFmtId="0" fontId="38" fillId="5" borderId="4" xfId="0" applyFont="1" applyFill="1" applyBorder="1" applyAlignment="1" applyProtection="1">
      <alignment horizontal="left" vertical="center" wrapText="1"/>
      <protection hidden="1"/>
    </xf>
    <xf numFmtId="0" fontId="38" fillId="5" borderId="33" xfId="0" applyFont="1" applyFill="1" applyBorder="1" applyAlignment="1" applyProtection="1">
      <alignment horizontal="left" vertical="center" wrapText="1"/>
      <protection hidden="1"/>
    </xf>
    <xf numFmtId="0" fontId="33" fillId="4" borderId="22" xfId="0" applyFont="1" applyFill="1" applyBorder="1" applyAlignment="1" applyProtection="1">
      <alignment horizontal="center" vertical="center"/>
      <protection hidden="1"/>
    </xf>
    <xf numFmtId="0" fontId="33" fillId="4" borderId="4" xfId="0" applyFont="1" applyFill="1" applyBorder="1" applyAlignment="1" applyProtection="1">
      <alignment horizontal="center" vertical="center"/>
      <protection hidden="1"/>
    </xf>
    <xf numFmtId="0" fontId="26" fillId="2" borderId="20" xfId="0" applyFont="1" applyFill="1" applyBorder="1" applyAlignment="1" applyProtection="1">
      <alignment horizontal="left" vertical="center" wrapText="1"/>
      <protection hidden="1"/>
    </xf>
    <xf numFmtId="0" fontId="26" fillId="2" borderId="1" xfId="0" applyFont="1" applyFill="1" applyBorder="1" applyAlignment="1" applyProtection="1">
      <alignment horizontal="left" vertical="center" wrapText="1"/>
      <protection hidden="1"/>
    </xf>
    <xf numFmtId="0" fontId="35" fillId="6" borderId="19" xfId="0" applyFont="1" applyFill="1" applyBorder="1" applyAlignment="1" applyProtection="1">
      <alignment horizontal="center" vertical="center" wrapText="1"/>
      <protection hidden="1"/>
    </xf>
    <xf numFmtId="0" fontId="35" fillId="6" borderId="0" xfId="0" applyFont="1" applyFill="1" applyAlignment="1" applyProtection="1">
      <alignment horizontal="center" vertical="center" wrapText="1"/>
      <protection hidden="1"/>
    </xf>
    <xf numFmtId="0" fontId="67" fillId="19" borderId="0" xfId="0" applyFont="1" applyFill="1" applyAlignment="1">
      <alignment horizontal="center"/>
    </xf>
    <xf numFmtId="0" fontId="67" fillId="24" borderId="0" xfId="0" applyFont="1" applyFill="1" applyAlignment="1">
      <alignment horizontal="center"/>
    </xf>
    <xf numFmtId="0" fontId="38" fillId="4" borderId="5" xfId="0" applyFont="1" applyFill="1" applyBorder="1" applyAlignment="1" applyProtection="1">
      <alignment horizontal="center" vertical="center"/>
      <protection hidden="1"/>
    </xf>
    <xf numFmtId="0" fontId="38" fillId="4" borderId="0" xfId="0" applyFont="1" applyFill="1" applyAlignment="1" applyProtection="1">
      <alignment horizontal="center" vertical="center"/>
      <protection hidden="1"/>
    </xf>
    <xf numFmtId="0" fontId="38" fillId="4" borderId="35" xfId="0" applyFont="1" applyFill="1" applyBorder="1" applyAlignment="1" applyProtection="1">
      <alignment horizontal="center" vertical="center"/>
      <protection hidden="1"/>
    </xf>
    <xf numFmtId="0" fontId="38" fillId="4" borderId="13" xfId="0" applyFont="1" applyFill="1" applyBorder="1" applyAlignment="1" applyProtection="1">
      <alignment horizontal="center" vertical="center"/>
      <protection hidden="1"/>
    </xf>
    <xf numFmtId="0" fontId="38" fillId="2" borderId="5" xfId="0" applyFont="1" applyFill="1" applyBorder="1" applyAlignment="1" applyProtection="1">
      <alignment horizontal="center" vertical="center" wrapText="1"/>
      <protection hidden="1"/>
    </xf>
    <xf numFmtId="0" fontId="38" fillId="2" borderId="0" xfId="0" applyFont="1" applyFill="1" applyAlignment="1" applyProtection="1">
      <alignment horizontal="center" vertical="center"/>
      <protection hidden="1"/>
    </xf>
    <xf numFmtId="0" fontId="38" fillId="2" borderId="35" xfId="0" applyFont="1" applyFill="1" applyBorder="1" applyAlignment="1" applyProtection="1">
      <alignment horizontal="center" vertical="center"/>
      <protection hidden="1"/>
    </xf>
    <xf numFmtId="0" fontId="38" fillId="2" borderId="13" xfId="0" applyFont="1" applyFill="1" applyBorder="1" applyAlignment="1" applyProtection="1">
      <alignment horizontal="center" vertical="center"/>
      <protection hidden="1"/>
    </xf>
    <xf numFmtId="0" fontId="66" fillId="4" borderId="13" xfId="0" applyFont="1" applyFill="1" applyBorder="1" applyAlignment="1" applyProtection="1">
      <alignment horizontal="center" vertical="center" wrapText="1"/>
      <protection hidden="1"/>
    </xf>
    <xf numFmtId="0" fontId="66" fillId="4" borderId="36" xfId="0" applyFont="1" applyFill="1" applyBorder="1" applyAlignment="1" applyProtection="1">
      <alignment horizontal="center" vertical="center" wrapText="1"/>
      <protection hidden="1"/>
    </xf>
    <xf numFmtId="0" fontId="30" fillId="0" borderId="21" xfId="0" applyFont="1" applyBorder="1" applyAlignment="1" applyProtection="1">
      <alignment horizontal="center" vertical="center" wrapText="1"/>
      <protection hidden="1"/>
    </xf>
    <xf numFmtId="0" fontId="30" fillId="0" borderId="11" xfId="0" applyFont="1" applyBorder="1" applyAlignment="1" applyProtection="1">
      <alignment horizontal="center" vertical="center" wrapText="1"/>
      <protection hidden="1"/>
    </xf>
    <xf numFmtId="0" fontId="30" fillId="0" borderId="35" xfId="0" applyFont="1" applyBorder="1" applyAlignment="1" applyProtection="1">
      <alignment horizontal="center" vertical="center" wrapText="1"/>
      <protection hidden="1"/>
    </xf>
    <xf numFmtId="0" fontId="30" fillId="0" borderId="13" xfId="0" applyFont="1" applyBorder="1" applyAlignment="1" applyProtection="1">
      <alignment horizontal="center" vertical="center" wrapText="1"/>
      <protection hidden="1"/>
    </xf>
    <xf numFmtId="0" fontId="24" fillId="3" borderId="20" xfId="0" applyFont="1" applyFill="1" applyBorder="1" applyAlignment="1" applyProtection="1">
      <alignment horizontal="center" vertical="center"/>
      <protection hidden="1"/>
    </xf>
    <xf numFmtId="0" fontId="24" fillId="3" borderId="1" xfId="0" applyFont="1" applyFill="1" applyBorder="1" applyAlignment="1" applyProtection="1">
      <alignment horizontal="center" vertical="center"/>
      <protection hidden="1"/>
    </xf>
    <xf numFmtId="0" fontId="24" fillId="3" borderId="28" xfId="0" applyFont="1" applyFill="1" applyBorder="1" applyAlignment="1" applyProtection="1">
      <alignment horizontal="center" vertical="center"/>
      <protection hidden="1"/>
    </xf>
    <xf numFmtId="0" fontId="27" fillId="11" borderId="0" xfId="0" applyFont="1" applyFill="1" applyAlignment="1" applyProtection="1">
      <alignment horizontal="center" vertical="center"/>
      <protection hidden="1"/>
    </xf>
    <xf numFmtId="0" fontId="26" fillId="2" borderId="53" xfId="0" applyFont="1" applyFill="1" applyBorder="1" applyAlignment="1" applyProtection="1">
      <alignment horizontal="left" vertical="center" wrapText="1"/>
      <protection hidden="1"/>
    </xf>
    <xf numFmtId="0" fontId="26" fillId="2" borderId="50" xfId="0" applyFont="1" applyFill="1" applyBorder="1" applyAlignment="1" applyProtection="1">
      <alignment horizontal="left" vertical="center" wrapText="1"/>
      <protection hidden="1"/>
    </xf>
    <xf numFmtId="0" fontId="30" fillId="10" borderId="57" xfId="0" applyFont="1" applyFill="1" applyBorder="1" applyAlignment="1">
      <alignment horizontal="left" vertical="center" wrapText="1"/>
    </xf>
    <xf numFmtId="0" fontId="30" fillId="10" borderId="26" xfId="0" applyFont="1" applyFill="1" applyBorder="1" applyAlignment="1">
      <alignment horizontal="left" vertical="center" wrapText="1"/>
    </xf>
    <xf numFmtId="164" fontId="26" fillId="5" borderId="1" xfId="0" applyNumberFormat="1" applyFont="1" applyFill="1" applyBorder="1" applyAlignment="1" applyProtection="1">
      <alignment horizontal="center" vertical="center"/>
      <protection hidden="1"/>
    </xf>
    <xf numFmtId="0" fontId="61" fillId="4" borderId="5" xfId="0" applyFont="1" applyFill="1" applyBorder="1" applyAlignment="1" applyProtection="1">
      <alignment horizontal="center" vertical="center"/>
      <protection locked="0"/>
    </xf>
    <xf numFmtId="0" fontId="30" fillId="10" borderId="34" xfId="0" applyFont="1" applyFill="1" applyBorder="1" applyAlignment="1">
      <alignment horizontal="left" vertical="center" wrapText="1"/>
    </xf>
    <xf numFmtId="0" fontId="30" fillId="10" borderId="4" xfId="0" applyFont="1" applyFill="1" applyBorder="1" applyAlignment="1">
      <alignment horizontal="left" vertical="center" wrapText="1"/>
    </xf>
    <xf numFmtId="0" fontId="30" fillId="10" borderId="11" xfId="0" applyFont="1" applyFill="1" applyBorder="1" applyAlignment="1">
      <alignment horizontal="left" vertical="center" wrapText="1"/>
    </xf>
    <xf numFmtId="0" fontId="30" fillId="10" borderId="29" xfId="0" applyFont="1" applyFill="1" applyBorder="1" applyAlignment="1">
      <alignment horizontal="left" vertical="center"/>
    </xf>
    <xf numFmtId="0" fontId="30" fillId="10" borderId="34" xfId="0" applyFont="1" applyFill="1" applyBorder="1" applyAlignment="1">
      <alignment horizontal="left" vertical="center"/>
    </xf>
    <xf numFmtId="0" fontId="30" fillId="10" borderId="30" xfId="0" applyFont="1" applyFill="1" applyBorder="1" applyAlignment="1">
      <alignment horizontal="left" vertical="center"/>
    </xf>
    <xf numFmtId="0" fontId="30" fillId="10" borderId="4" xfId="0" applyFont="1" applyFill="1" applyBorder="1" applyAlignment="1">
      <alignment horizontal="left" vertical="center"/>
    </xf>
    <xf numFmtId="0" fontId="30" fillId="10" borderId="1" xfId="0" applyFont="1" applyFill="1" applyBorder="1" applyAlignment="1">
      <alignment horizontal="center" vertical="center"/>
    </xf>
    <xf numFmtId="0" fontId="30" fillId="10" borderId="39" xfId="0" applyFont="1" applyFill="1" applyBorder="1" applyAlignment="1">
      <alignment horizontal="center" vertical="center"/>
    </xf>
    <xf numFmtId="0" fontId="61" fillId="4" borderId="19" xfId="0" applyFont="1" applyFill="1" applyBorder="1" applyAlignment="1" applyProtection="1">
      <alignment horizontal="center" vertical="center" wrapText="1"/>
      <protection locked="0"/>
    </xf>
    <xf numFmtId="0" fontId="61" fillId="4" borderId="0" xfId="0" applyFont="1" applyFill="1" applyAlignment="1" applyProtection="1">
      <alignment horizontal="center" vertical="center" wrapText="1"/>
      <protection locked="0"/>
    </xf>
    <xf numFmtId="0" fontId="61" fillId="4" borderId="6" xfId="0" applyFont="1" applyFill="1" applyBorder="1" applyAlignment="1" applyProtection="1">
      <alignment horizontal="center" vertical="center" wrapText="1"/>
      <protection locked="0"/>
    </xf>
    <xf numFmtId="0" fontId="34" fillId="4" borderId="53" xfId="0" applyFont="1" applyFill="1" applyBorder="1" applyAlignment="1" applyProtection="1">
      <alignment horizontal="center" vertical="center"/>
      <protection locked="0"/>
    </xf>
    <xf numFmtId="0" fontId="34" fillId="4" borderId="50" xfId="0" applyFont="1" applyFill="1" applyBorder="1" applyAlignment="1" applyProtection="1">
      <alignment horizontal="center" vertical="center"/>
      <protection locked="0"/>
    </xf>
    <xf numFmtId="0" fontId="32" fillId="4" borderId="1" xfId="0" applyFont="1" applyFill="1" applyBorder="1" applyAlignment="1" applyProtection="1">
      <alignment horizontal="center" vertical="center" wrapText="1"/>
      <protection hidden="1"/>
    </xf>
    <xf numFmtId="0" fontId="32" fillId="2" borderId="1" xfId="0" applyFont="1" applyFill="1" applyBorder="1" applyAlignment="1" applyProtection="1">
      <alignment horizontal="center" vertical="center" wrapText="1"/>
      <protection hidden="1"/>
    </xf>
    <xf numFmtId="0" fontId="34" fillId="4" borderId="3" xfId="0" applyFont="1" applyFill="1" applyBorder="1" applyAlignment="1" applyProtection="1">
      <alignment horizontal="center" vertical="center"/>
      <protection locked="0"/>
    </xf>
    <xf numFmtId="0" fontId="38" fillId="4" borderId="3" xfId="0" applyFont="1" applyFill="1" applyBorder="1" applyAlignment="1" applyProtection="1">
      <alignment horizontal="center" vertical="center"/>
      <protection locked="0"/>
    </xf>
    <xf numFmtId="0" fontId="30" fillId="4" borderId="5" xfId="0" applyFont="1" applyFill="1" applyBorder="1" applyAlignment="1" applyProtection="1">
      <alignment horizontal="center" wrapText="1"/>
      <protection hidden="1"/>
    </xf>
    <xf numFmtId="0" fontId="30" fillId="4" borderId="0" xfId="0" applyFont="1" applyFill="1" applyAlignment="1" applyProtection="1">
      <alignment horizontal="center" wrapText="1"/>
      <protection hidden="1"/>
    </xf>
    <xf numFmtId="0" fontId="30" fillId="4" borderId="17" xfId="0" applyFont="1" applyFill="1" applyBorder="1" applyAlignment="1" applyProtection="1">
      <alignment horizontal="center" wrapText="1"/>
      <protection hidden="1"/>
    </xf>
    <xf numFmtId="0" fontId="30" fillId="4" borderId="7" xfId="0" applyFont="1" applyFill="1" applyBorder="1" applyAlignment="1" applyProtection="1">
      <alignment horizontal="center" wrapText="1"/>
      <protection hidden="1"/>
    </xf>
    <xf numFmtId="0" fontId="38" fillId="4" borderId="0" xfId="0" applyFont="1" applyFill="1" applyAlignment="1" applyProtection="1">
      <alignment horizontal="center" vertical="center" wrapText="1"/>
      <protection hidden="1"/>
    </xf>
    <xf numFmtId="0" fontId="38" fillId="4" borderId="6" xfId="0" applyFont="1" applyFill="1" applyBorder="1" applyAlignment="1" applyProtection="1">
      <alignment horizontal="center" vertical="center"/>
      <protection hidden="1"/>
    </xf>
    <xf numFmtId="0" fontId="38" fillId="4" borderId="7" xfId="0" applyFont="1" applyFill="1" applyBorder="1" applyAlignment="1" applyProtection="1">
      <alignment horizontal="center" vertical="center"/>
      <protection hidden="1"/>
    </xf>
    <xf numFmtId="0" fontId="38" fillId="4" borderId="8" xfId="0" applyFont="1" applyFill="1" applyBorder="1" applyAlignment="1" applyProtection="1">
      <alignment horizontal="center" vertical="center"/>
      <protection hidden="1"/>
    </xf>
    <xf numFmtId="0" fontId="30" fillId="10" borderId="32" xfId="0" applyFont="1" applyFill="1" applyBorder="1" applyAlignment="1">
      <alignment horizontal="left" vertical="center" wrapText="1"/>
    </xf>
    <xf numFmtId="0" fontId="30" fillId="10" borderId="9" xfId="0" applyFont="1" applyFill="1" applyBorder="1" applyAlignment="1">
      <alignment horizontal="left" vertical="center"/>
    </xf>
    <xf numFmtId="0" fontId="30" fillId="10" borderId="18" xfId="0" applyFont="1" applyFill="1" applyBorder="1" applyAlignment="1">
      <alignment horizontal="left" vertical="center"/>
    </xf>
    <xf numFmtId="0" fontId="30" fillId="10" borderId="44" xfId="0" applyFont="1" applyFill="1" applyBorder="1" applyAlignment="1">
      <alignment horizontal="left" vertical="center"/>
    </xf>
    <xf numFmtId="166" fontId="30" fillId="12" borderId="47" xfId="0" applyNumberFormat="1" applyFont="1" applyFill="1" applyBorder="1" applyAlignment="1" applyProtection="1">
      <alignment horizontal="center" vertical="center"/>
      <protection hidden="1"/>
    </xf>
    <xf numFmtId="166" fontId="30" fillId="12" borderId="10" xfId="0" applyNumberFormat="1" applyFont="1" applyFill="1" applyBorder="1" applyAlignment="1" applyProtection="1">
      <alignment horizontal="center" vertical="center"/>
      <protection hidden="1"/>
    </xf>
    <xf numFmtId="0" fontId="32" fillId="4" borderId="20" xfId="0" applyFont="1" applyFill="1" applyBorder="1" applyAlignment="1" applyProtection="1">
      <alignment horizontal="center" vertical="center" wrapText="1"/>
      <protection hidden="1"/>
    </xf>
    <xf numFmtId="0" fontId="30" fillId="10" borderId="13" xfId="0" applyFont="1" applyFill="1" applyBorder="1" applyAlignment="1">
      <alignment horizontal="left" vertical="center" wrapText="1"/>
    </xf>
    <xf numFmtId="0" fontId="30" fillId="10" borderId="21" xfId="0" applyFont="1" applyFill="1" applyBorder="1" applyAlignment="1">
      <alignment horizontal="left" vertical="center"/>
    </xf>
    <xf numFmtId="0" fontId="30" fillId="10" borderId="11" xfId="0" applyFont="1" applyFill="1" applyBorder="1" applyAlignment="1">
      <alignment horizontal="left" vertical="center"/>
    </xf>
    <xf numFmtId="0" fontId="30" fillId="10" borderId="33" xfId="0" applyFont="1" applyFill="1" applyBorder="1" applyAlignment="1">
      <alignment horizontal="left" vertical="center"/>
    </xf>
    <xf numFmtId="0" fontId="30" fillId="10" borderId="26" xfId="0" applyFont="1" applyFill="1" applyBorder="1" applyAlignment="1">
      <alignment horizontal="center" vertical="center"/>
    </xf>
    <xf numFmtId="0" fontId="35" fillId="4" borderId="6" xfId="0" applyFont="1" applyFill="1" applyBorder="1" applyAlignment="1" applyProtection="1">
      <alignment horizontal="center" vertical="center" wrapText="1"/>
      <protection locked="0"/>
    </xf>
    <xf numFmtId="0" fontId="61" fillId="4" borderId="14" xfId="0" applyFont="1" applyFill="1" applyBorder="1" applyAlignment="1" applyProtection="1">
      <alignment horizontal="center" vertical="center"/>
      <protection locked="0"/>
    </xf>
    <xf numFmtId="0" fontId="61" fillId="4" borderId="15" xfId="0" applyFont="1" applyFill="1" applyBorder="1" applyAlignment="1" applyProtection="1">
      <alignment horizontal="center" vertical="center"/>
      <protection locked="0"/>
    </xf>
    <xf numFmtId="0" fontId="61" fillId="4" borderId="15" xfId="0" applyFont="1" applyFill="1" applyBorder="1" applyAlignment="1" applyProtection="1">
      <alignment horizontal="left" wrapText="1"/>
      <protection hidden="1"/>
    </xf>
    <xf numFmtId="0" fontId="30" fillId="10" borderId="20" xfId="0" applyFont="1" applyFill="1" applyBorder="1" applyAlignment="1">
      <alignment horizontal="left" vertical="center" wrapText="1"/>
    </xf>
    <xf numFmtId="0" fontId="30" fillId="10" borderId="1" xfId="0" applyFont="1" applyFill="1" applyBorder="1" applyAlignment="1">
      <alignment horizontal="left" vertical="center" wrapText="1"/>
    </xf>
    <xf numFmtId="0" fontId="30" fillId="10" borderId="58" xfId="0" applyFont="1" applyFill="1" applyBorder="1" applyAlignment="1">
      <alignment horizontal="left" vertical="center" wrapText="1"/>
    </xf>
    <xf numFmtId="0" fontId="30" fillId="10" borderId="39" xfId="0" applyFont="1" applyFill="1" applyBorder="1" applyAlignment="1">
      <alignment horizontal="left" vertical="center" wrapText="1"/>
    </xf>
    <xf numFmtId="0" fontId="30" fillId="10" borderId="7" xfId="0" applyFont="1" applyFill="1" applyBorder="1" applyAlignment="1">
      <alignment horizontal="left" vertical="center" wrapText="1"/>
    </xf>
    <xf numFmtId="0" fontId="62" fillId="4" borderId="5" xfId="0" applyFont="1" applyFill="1" applyBorder="1" applyAlignment="1" applyProtection="1">
      <alignment horizontal="left" vertical="center" wrapText="1"/>
      <protection hidden="1"/>
    </xf>
    <xf numFmtId="0" fontId="62" fillId="4" borderId="17" xfId="0" applyFont="1" applyFill="1" applyBorder="1" applyAlignment="1" applyProtection="1">
      <alignment horizontal="left" vertical="center" wrapText="1"/>
      <protection hidden="1"/>
    </xf>
    <xf numFmtId="0" fontId="62" fillId="4" borderId="7" xfId="0" applyFont="1" applyFill="1" applyBorder="1" applyAlignment="1" applyProtection="1">
      <alignment horizontal="left" vertical="center" wrapText="1"/>
      <protection hidden="1"/>
    </xf>
    <xf numFmtId="0" fontId="9" fillId="4" borderId="0" xfId="0" applyFont="1" applyFill="1" applyAlignment="1" applyProtection="1">
      <alignment horizontal="center" wrapText="1"/>
      <protection hidden="1"/>
    </xf>
    <xf numFmtId="0" fontId="0" fillId="4" borderId="0" xfId="0" applyFill="1" applyAlignment="1" applyProtection="1">
      <alignment horizontal="center" wrapText="1"/>
      <protection hidden="1"/>
    </xf>
    <xf numFmtId="0" fontId="61" fillId="4" borderId="0" xfId="0" applyFont="1" applyFill="1" applyAlignment="1" applyProtection="1">
      <alignment horizontal="center" vertical="center"/>
      <protection hidden="1"/>
    </xf>
    <xf numFmtId="0" fontId="64" fillId="4" borderId="21" xfId="0" applyFont="1" applyFill="1" applyBorder="1" applyAlignment="1" applyProtection="1">
      <alignment horizontal="left" vertical="top" wrapText="1"/>
      <protection hidden="1"/>
    </xf>
    <xf numFmtId="0" fontId="64" fillId="4" borderId="11" xfId="0" applyFont="1" applyFill="1" applyBorder="1" applyAlignment="1" applyProtection="1">
      <alignment horizontal="left" vertical="top" wrapText="1"/>
      <protection hidden="1"/>
    </xf>
    <xf numFmtId="0" fontId="64" fillId="4" borderId="5" xfId="0" applyFont="1" applyFill="1" applyBorder="1" applyAlignment="1" applyProtection="1">
      <alignment horizontal="left" vertical="top" wrapText="1"/>
      <protection hidden="1"/>
    </xf>
    <xf numFmtId="0" fontId="64" fillId="4" borderId="0" xfId="0" applyFont="1" applyFill="1" applyAlignment="1" applyProtection="1">
      <alignment horizontal="left" vertical="top" wrapText="1"/>
      <protection hidden="1"/>
    </xf>
    <xf numFmtId="0" fontId="62" fillId="4" borderId="4" xfId="0" applyFont="1" applyFill="1" applyBorder="1" applyAlignment="1" applyProtection="1">
      <alignment horizontal="center" vertical="center" wrapText="1"/>
      <protection hidden="1"/>
    </xf>
    <xf numFmtId="0" fontId="38" fillId="4" borderId="6" xfId="0" applyFont="1" applyFill="1" applyBorder="1" applyAlignment="1" applyProtection="1">
      <alignment horizontal="left" vertical="center" wrapText="1"/>
      <protection hidden="1"/>
    </xf>
    <xf numFmtId="0" fontId="38" fillId="4" borderId="8" xfId="0" applyFont="1" applyFill="1" applyBorder="1" applyAlignment="1" applyProtection="1">
      <alignment horizontal="left" vertical="center" wrapText="1"/>
      <protection hidden="1"/>
    </xf>
    <xf numFmtId="0" fontId="34" fillId="4" borderId="1" xfId="0" applyFont="1" applyFill="1" applyBorder="1" applyAlignment="1" applyProtection="1">
      <alignment horizontal="center" vertical="center"/>
      <protection hidden="1"/>
    </xf>
    <xf numFmtId="0" fontId="61" fillId="4" borderId="1" xfId="0" applyFont="1" applyFill="1" applyBorder="1" applyAlignment="1" applyProtection="1">
      <alignment horizontal="center" vertical="center"/>
      <protection hidden="1"/>
    </xf>
    <xf numFmtId="0" fontId="28" fillId="4" borderId="0" xfId="0" applyFont="1" applyFill="1" applyAlignment="1" applyProtection="1">
      <alignment horizontal="center" vertical="top" wrapText="1"/>
      <protection hidden="1"/>
    </xf>
    <xf numFmtId="0" fontId="8" fillId="4" borderId="0" xfId="0" applyFont="1" applyFill="1" applyAlignment="1" applyProtection="1">
      <alignment horizontal="left" vertical="center" wrapText="1"/>
      <protection hidden="1"/>
    </xf>
    <xf numFmtId="0" fontId="0" fillId="4" borderId="0" xfId="0" applyFill="1" applyAlignment="1" applyProtection="1">
      <alignment horizontal="left" vertical="center" wrapText="1"/>
      <protection hidden="1"/>
    </xf>
    <xf numFmtId="0" fontId="35" fillId="4" borderId="0" xfId="0" applyFont="1" applyFill="1" applyAlignment="1" applyProtection="1">
      <alignment horizontal="center" vertical="center"/>
      <protection hidden="1"/>
    </xf>
    <xf numFmtId="0" fontId="17" fillId="0" borderId="5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0" fillId="4" borderId="0" xfId="0" applyFont="1" applyFill="1" applyAlignment="1" applyProtection="1">
      <alignment horizontal="center" vertical="center" wrapText="1"/>
      <protection hidden="1"/>
    </xf>
    <xf numFmtId="0" fontId="38" fillId="0" borderId="11" xfId="0" applyFont="1" applyBorder="1" applyAlignment="1" applyProtection="1">
      <alignment horizontal="center" vertical="top" wrapText="1"/>
      <protection hidden="1"/>
    </xf>
    <xf numFmtId="0" fontId="38" fillId="0" borderId="13" xfId="0" applyFont="1" applyBorder="1" applyAlignment="1" applyProtection="1">
      <alignment horizontal="center" vertical="top" wrapText="1"/>
      <protection hidden="1"/>
    </xf>
    <xf numFmtId="0" fontId="9" fillId="4" borderId="5" xfId="0" applyFont="1" applyFill="1" applyBorder="1" applyAlignment="1" applyProtection="1">
      <alignment horizontal="left" vertical="center" wrapText="1"/>
      <protection hidden="1"/>
    </xf>
    <xf numFmtId="0" fontId="17" fillId="4" borderId="0" xfId="0" applyFont="1" applyFill="1" applyAlignment="1" applyProtection="1">
      <alignment horizontal="left" vertical="center" wrapText="1"/>
      <protection hidden="1"/>
    </xf>
    <xf numFmtId="0" fontId="17" fillId="4" borderId="5" xfId="0" applyFont="1" applyFill="1" applyBorder="1" applyAlignment="1" applyProtection="1">
      <alignment horizontal="left" vertical="center" wrapText="1"/>
      <protection hidden="1"/>
    </xf>
    <xf numFmtId="0" fontId="17" fillId="4" borderId="17" xfId="0" applyFont="1" applyFill="1" applyBorder="1" applyAlignment="1" applyProtection="1">
      <alignment horizontal="left" vertical="center" wrapText="1"/>
      <protection hidden="1"/>
    </xf>
    <xf numFmtId="0" fontId="17" fillId="4" borderId="7" xfId="0" applyFont="1" applyFill="1" applyBorder="1" applyAlignment="1" applyProtection="1">
      <alignment horizontal="left" vertical="center" wrapText="1"/>
      <protection hidden="1"/>
    </xf>
    <xf numFmtId="0" fontId="38" fillId="4" borderId="11" xfId="0" applyFont="1" applyFill="1" applyBorder="1" applyAlignment="1" applyProtection="1">
      <alignment horizontal="center" vertical="top" wrapText="1"/>
      <protection hidden="1"/>
    </xf>
    <xf numFmtId="0" fontId="38" fillId="4" borderId="0" xfId="0" applyFont="1" applyFill="1" applyAlignment="1" applyProtection="1">
      <alignment horizontal="center" vertical="top" wrapText="1"/>
      <protection hidden="1"/>
    </xf>
    <xf numFmtId="0" fontId="24" fillId="6" borderId="20" xfId="0" applyFont="1" applyFill="1" applyBorder="1" applyAlignment="1" applyProtection="1">
      <alignment horizontal="left" vertical="center"/>
      <protection hidden="1"/>
    </xf>
    <xf numFmtId="0" fontId="24" fillId="6" borderId="1" xfId="0" applyFont="1" applyFill="1" applyBorder="1" applyAlignment="1" applyProtection="1">
      <alignment horizontal="left" vertical="center"/>
      <protection hidden="1"/>
    </xf>
    <xf numFmtId="0" fontId="12" fillId="4" borderId="0" xfId="0" applyFont="1" applyFill="1" applyAlignment="1" applyProtection="1">
      <alignment vertical="center" wrapText="1"/>
      <protection hidden="1"/>
    </xf>
    <xf numFmtId="0" fontId="15" fillId="4" borderId="0" xfId="0" applyFont="1" applyFill="1" applyAlignment="1" applyProtection="1">
      <alignment vertical="center" wrapText="1"/>
      <protection hidden="1"/>
    </xf>
    <xf numFmtId="0" fontId="35" fillId="4" borderId="1" xfId="0" applyFont="1" applyFill="1" applyBorder="1" applyAlignment="1" applyProtection="1">
      <alignment horizontal="center" vertical="center"/>
      <protection hidden="1"/>
    </xf>
    <xf numFmtId="0" fontId="29" fillId="6" borderId="19" xfId="0" applyFont="1" applyFill="1" applyBorder="1" applyAlignment="1" applyProtection="1">
      <alignment horizontal="left" vertical="center" wrapText="1"/>
      <protection hidden="1"/>
    </xf>
    <xf numFmtId="0" fontId="29" fillId="6" borderId="0" xfId="0" applyFont="1" applyFill="1" applyAlignment="1" applyProtection="1">
      <alignment horizontal="left" vertical="center" wrapText="1"/>
      <protection hidden="1"/>
    </xf>
    <xf numFmtId="0" fontId="38" fillId="5" borderId="3" xfId="0" applyFont="1" applyFill="1" applyBorder="1" applyAlignment="1" applyProtection="1">
      <alignment horizontal="left" vertical="center" wrapText="1"/>
      <protection hidden="1"/>
    </xf>
    <xf numFmtId="0" fontId="70" fillId="2" borderId="46" xfId="0" applyFont="1" applyFill="1" applyBorder="1" applyAlignment="1" applyProtection="1">
      <alignment horizontal="center" vertical="top"/>
      <protection locked="0" hidden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01343B"/>
      <color rgb="FFB46D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8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2.jpeg"/><Relationship Id="rId18" Type="http://schemas.openxmlformats.org/officeDocument/2006/relationships/image" Target="../media/image15.png"/><Relationship Id="rId26" Type="http://schemas.openxmlformats.org/officeDocument/2006/relationships/image" Target="../media/image28.png"/><Relationship Id="rId39" Type="http://schemas.openxmlformats.org/officeDocument/2006/relationships/image" Target="../media/image56.png"/><Relationship Id="rId21" Type="http://schemas.openxmlformats.org/officeDocument/2006/relationships/image" Target="../media/image16.jpeg"/><Relationship Id="rId34" Type="http://schemas.openxmlformats.org/officeDocument/2006/relationships/image" Target="../media/image51.jpeg"/><Relationship Id="rId7" Type="http://schemas.openxmlformats.org/officeDocument/2006/relationships/image" Target="../media/image7.png"/><Relationship Id="rId2" Type="http://schemas.openxmlformats.org/officeDocument/2006/relationships/image" Target="../media/image37.jpeg"/><Relationship Id="rId16" Type="http://schemas.openxmlformats.org/officeDocument/2006/relationships/image" Target="../media/image45.png"/><Relationship Id="rId20" Type="http://schemas.openxmlformats.org/officeDocument/2006/relationships/image" Target="../media/image25.png"/><Relationship Id="rId29" Type="http://schemas.openxmlformats.org/officeDocument/2006/relationships/image" Target="../media/image31.png"/><Relationship Id="rId41" Type="http://schemas.openxmlformats.org/officeDocument/2006/relationships/image" Target="../media/image58.jpeg"/><Relationship Id="rId1" Type="http://schemas.openxmlformats.org/officeDocument/2006/relationships/image" Target="../media/image36.png"/><Relationship Id="rId6" Type="http://schemas.openxmlformats.org/officeDocument/2006/relationships/image" Target="../media/image8.jpeg"/><Relationship Id="rId11" Type="http://schemas.openxmlformats.org/officeDocument/2006/relationships/image" Target="../media/image27.png"/><Relationship Id="rId24" Type="http://schemas.openxmlformats.org/officeDocument/2006/relationships/image" Target="../media/image49.png"/><Relationship Id="rId32" Type="http://schemas.openxmlformats.org/officeDocument/2006/relationships/image" Target="../media/image34.png"/><Relationship Id="rId37" Type="http://schemas.openxmlformats.org/officeDocument/2006/relationships/image" Target="../media/image54.png"/><Relationship Id="rId40" Type="http://schemas.openxmlformats.org/officeDocument/2006/relationships/image" Target="../media/image57.jpeg"/><Relationship Id="rId5" Type="http://schemas.openxmlformats.org/officeDocument/2006/relationships/image" Target="../media/image40.jpeg"/><Relationship Id="rId15" Type="http://schemas.openxmlformats.org/officeDocument/2006/relationships/image" Target="../media/image44.png"/><Relationship Id="rId23" Type="http://schemas.openxmlformats.org/officeDocument/2006/relationships/image" Target="../media/image48.png"/><Relationship Id="rId28" Type="http://schemas.openxmlformats.org/officeDocument/2006/relationships/image" Target="../media/image30.png"/><Relationship Id="rId36" Type="http://schemas.openxmlformats.org/officeDocument/2006/relationships/image" Target="../media/image53.png"/><Relationship Id="rId10" Type="http://schemas.openxmlformats.org/officeDocument/2006/relationships/image" Target="../media/image14.jpeg"/><Relationship Id="rId19" Type="http://schemas.openxmlformats.org/officeDocument/2006/relationships/image" Target="../media/image47.png"/><Relationship Id="rId31" Type="http://schemas.openxmlformats.org/officeDocument/2006/relationships/image" Target="../media/image33.png"/><Relationship Id="rId4" Type="http://schemas.openxmlformats.org/officeDocument/2006/relationships/image" Target="../media/image39.jpeg"/><Relationship Id="rId9" Type="http://schemas.openxmlformats.org/officeDocument/2006/relationships/image" Target="../media/image5.png"/><Relationship Id="rId14" Type="http://schemas.openxmlformats.org/officeDocument/2006/relationships/image" Target="../media/image43.png"/><Relationship Id="rId22" Type="http://schemas.openxmlformats.org/officeDocument/2006/relationships/image" Target="../media/image17.jpeg"/><Relationship Id="rId27" Type="http://schemas.openxmlformats.org/officeDocument/2006/relationships/image" Target="../media/image29.png"/><Relationship Id="rId30" Type="http://schemas.openxmlformats.org/officeDocument/2006/relationships/image" Target="../media/image32.png"/><Relationship Id="rId35" Type="http://schemas.openxmlformats.org/officeDocument/2006/relationships/image" Target="../media/image52.png"/><Relationship Id="rId8" Type="http://schemas.openxmlformats.org/officeDocument/2006/relationships/image" Target="../media/image41.jpeg"/><Relationship Id="rId3" Type="http://schemas.openxmlformats.org/officeDocument/2006/relationships/image" Target="../media/image38.jpeg"/><Relationship Id="rId12" Type="http://schemas.openxmlformats.org/officeDocument/2006/relationships/image" Target="../media/image3.jpeg"/><Relationship Id="rId17" Type="http://schemas.openxmlformats.org/officeDocument/2006/relationships/image" Target="../media/image46.jpeg"/><Relationship Id="rId25" Type="http://schemas.openxmlformats.org/officeDocument/2006/relationships/image" Target="../media/image50.png"/><Relationship Id="rId33" Type="http://schemas.openxmlformats.org/officeDocument/2006/relationships/image" Target="../media/image35.jpeg"/><Relationship Id="rId38" Type="http://schemas.openxmlformats.org/officeDocument/2006/relationships/image" Target="../media/image5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jpeg"/><Relationship Id="rId18" Type="http://schemas.openxmlformats.org/officeDocument/2006/relationships/image" Target="../media/image16.jpeg"/><Relationship Id="rId26" Type="http://schemas.openxmlformats.org/officeDocument/2006/relationships/image" Target="../media/image24.png"/><Relationship Id="rId3" Type="http://schemas.openxmlformats.org/officeDocument/2006/relationships/image" Target="../media/image26.png"/><Relationship Id="rId21" Type="http://schemas.openxmlformats.org/officeDocument/2006/relationships/image" Target="../media/image19.pn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5.png"/><Relationship Id="rId25" Type="http://schemas.openxmlformats.org/officeDocument/2006/relationships/image" Target="../media/image23.png"/><Relationship Id="rId2" Type="http://schemas.openxmlformats.org/officeDocument/2006/relationships/image" Target="../media/image2.png"/><Relationship Id="rId16" Type="http://schemas.openxmlformats.org/officeDocument/2006/relationships/image" Target="../media/image27.png"/><Relationship Id="rId20" Type="http://schemas.openxmlformats.org/officeDocument/2006/relationships/image" Target="../media/image18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jpeg"/><Relationship Id="rId24" Type="http://schemas.openxmlformats.org/officeDocument/2006/relationships/image" Target="../media/image22.png"/><Relationship Id="rId5" Type="http://schemas.openxmlformats.org/officeDocument/2006/relationships/image" Target="../media/image4.png"/><Relationship Id="rId15" Type="http://schemas.openxmlformats.org/officeDocument/2006/relationships/image" Target="../media/image14.jpeg"/><Relationship Id="rId23" Type="http://schemas.openxmlformats.org/officeDocument/2006/relationships/image" Target="../media/image21.png"/><Relationship Id="rId10" Type="http://schemas.openxmlformats.org/officeDocument/2006/relationships/image" Target="../media/image9.jpeg"/><Relationship Id="rId19" Type="http://schemas.openxmlformats.org/officeDocument/2006/relationships/image" Target="../media/image17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Relationship Id="rId14" Type="http://schemas.openxmlformats.org/officeDocument/2006/relationships/image" Target="../media/image13.png"/><Relationship Id="rId22" Type="http://schemas.openxmlformats.org/officeDocument/2006/relationships/image" Target="../media/image20.png"/><Relationship Id="rId27" Type="http://schemas.openxmlformats.org/officeDocument/2006/relationships/image" Target="../media/image2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jpeg"/><Relationship Id="rId13" Type="http://schemas.openxmlformats.org/officeDocument/2006/relationships/image" Target="../media/image42.jpeg"/><Relationship Id="rId18" Type="http://schemas.openxmlformats.org/officeDocument/2006/relationships/image" Target="../media/image15.png"/><Relationship Id="rId3" Type="http://schemas.openxmlformats.org/officeDocument/2006/relationships/image" Target="../media/image38.jpeg"/><Relationship Id="rId21" Type="http://schemas.openxmlformats.org/officeDocument/2006/relationships/image" Target="../media/image16.jpeg"/><Relationship Id="rId7" Type="http://schemas.openxmlformats.org/officeDocument/2006/relationships/image" Target="../media/image7.png"/><Relationship Id="rId12" Type="http://schemas.openxmlformats.org/officeDocument/2006/relationships/image" Target="../media/image3.jpeg"/><Relationship Id="rId17" Type="http://schemas.openxmlformats.org/officeDocument/2006/relationships/image" Target="../media/image59.jpg"/><Relationship Id="rId25" Type="http://schemas.openxmlformats.org/officeDocument/2006/relationships/image" Target="../media/image50.png"/><Relationship Id="rId2" Type="http://schemas.openxmlformats.org/officeDocument/2006/relationships/image" Target="../media/image37.jpeg"/><Relationship Id="rId16" Type="http://schemas.openxmlformats.org/officeDocument/2006/relationships/image" Target="../media/image45.png"/><Relationship Id="rId20" Type="http://schemas.openxmlformats.org/officeDocument/2006/relationships/image" Target="../media/image25.png"/><Relationship Id="rId1" Type="http://schemas.openxmlformats.org/officeDocument/2006/relationships/image" Target="../media/image36.png"/><Relationship Id="rId6" Type="http://schemas.openxmlformats.org/officeDocument/2006/relationships/image" Target="../media/image8.jpeg"/><Relationship Id="rId11" Type="http://schemas.openxmlformats.org/officeDocument/2006/relationships/image" Target="../media/image27.png"/><Relationship Id="rId24" Type="http://schemas.openxmlformats.org/officeDocument/2006/relationships/image" Target="../media/image49.png"/><Relationship Id="rId5" Type="http://schemas.openxmlformats.org/officeDocument/2006/relationships/image" Target="../media/image40.jpeg"/><Relationship Id="rId15" Type="http://schemas.openxmlformats.org/officeDocument/2006/relationships/image" Target="../media/image44.png"/><Relationship Id="rId23" Type="http://schemas.openxmlformats.org/officeDocument/2006/relationships/image" Target="../media/image48.png"/><Relationship Id="rId10" Type="http://schemas.openxmlformats.org/officeDocument/2006/relationships/image" Target="../media/image14.jpeg"/><Relationship Id="rId19" Type="http://schemas.openxmlformats.org/officeDocument/2006/relationships/image" Target="../media/image47.png"/><Relationship Id="rId4" Type="http://schemas.openxmlformats.org/officeDocument/2006/relationships/image" Target="../media/image39.jpeg"/><Relationship Id="rId9" Type="http://schemas.openxmlformats.org/officeDocument/2006/relationships/image" Target="../media/image5.png"/><Relationship Id="rId14" Type="http://schemas.openxmlformats.org/officeDocument/2006/relationships/image" Target="../media/image43.png"/><Relationship Id="rId22" Type="http://schemas.openxmlformats.org/officeDocument/2006/relationships/image" Target="../media/image17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13" Type="http://schemas.openxmlformats.org/officeDocument/2006/relationships/image" Target="../media/image58.jpeg"/><Relationship Id="rId18" Type="http://schemas.openxmlformats.org/officeDocument/2006/relationships/image" Target="../media/image45.png"/><Relationship Id="rId26" Type="http://schemas.openxmlformats.org/officeDocument/2006/relationships/image" Target="../media/image49.png"/><Relationship Id="rId3" Type="http://schemas.openxmlformats.org/officeDocument/2006/relationships/image" Target="../media/image40.jpeg"/><Relationship Id="rId21" Type="http://schemas.openxmlformats.org/officeDocument/2006/relationships/image" Target="../media/image15.png"/><Relationship Id="rId7" Type="http://schemas.openxmlformats.org/officeDocument/2006/relationships/image" Target="../media/image14.jpeg"/><Relationship Id="rId12" Type="http://schemas.openxmlformats.org/officeDocument/2006/relationships/image" Target="../media/image61.jpeg"/><Relationship Id="rId17" Type="http://schemas.openxmlformats.org/officeDocument/2006/relationships/image" Target="../media/image54.png"/><Relationship Id="rId25" Type="http://schemas.openxmlformats.org/officeDocument/2006/relationships/image" Target="../media/image48.png"/><Relationship Id="rId2" Type="http://schemas.openxmlformats.org/officeDocument/2006/relationships/image" Target="../media/image39.jpeg"/><Relationship Id="rId16" Type="http://schemas.openxmlformats.org/officeDocument/2006/relationships/image" Target="../media/image53.png"/><Relationship Id="rId20" Type="http://schemas.openxmlformats.org/officeDocument/2006/relationships/image" Target="../media/image56.png"/><Relationship Id="rId1" Type="http://schemas.openxmlformats.org/officeDocument/2006/relationships/image" Target="../media/image38.jpeg"/><Relationship Id="rId6" Type="http://schemas.openxmlformats.org/officeDocument/2006/relationships/image" Target="../media/image27.png"/><Relationship Id="rId11" Type="http://schemas.openxmlformats.org/officeDocument/2006/relationships/image" Target="../media/image41.jpeg"/><Relationship Id="rId24" Type="http://schemas.openxmlformats.org/officeDocument/2006/relationships/image" Target="../media/image25.png"/><Relationship Id="rId5" Type="http://schemas.openxmlformats.org/officeDocument/2006/relationships/image" Target="../media/image5.png"/><Relationship Id="rId15" Type="http://schemas.openxmlformats.org/officeDocument/2006/relationships/image" Target="../media/image52.png"/><Relationship Id="rId23" Type="http://schemas.openxmlformats.org/officeDocument/2006/relationships/image" Target="../media/image17.jpeg"/><Relationship Id="rId10" Type="http://schemas.openxmlformats.org/officeDocument/2006/relationships/image" Target="../media/image7.png"/><Relationship Id="rId19" Type="http://schemas.openxmlformats.org/officeDocument/2006/relationships/image" Target="../media/image55.png"/><Relationship Id="rId4" Type="http://schemas.openxmlformats.org/officeDocument/2006/relationships/image" Target="../media/image8.jpeg"/><Relationship Id="rId9" Type="http://schemas.openxmlformats.org/officeDocument/2006/relationships/image" Target="../media/image60.jpeg"/><Relationship Id="rId14" Type="http://schemas.openxmlformats.org/officeDocument/2006/relationships/image" Target="../media/image57.jpeg"/><Relationship Id="rId22" Type="http://schemas.openxmlformats.org/officeDocument/2006/relationships/image" Target="../media/image16.jpeg"/><Relationship Id="rId27" Type="http://schemas.openxmlformats.org/officeDocument/2006/relationships/image" Target="../media/image5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169062</xdr:colOff>
      <xdr:row>29</xdr:row>
      <xdr:rowOff>98343</xdr:rowOff>
    </xdr:from>
    <xdr:to>
      <xdr:col>5</xdr:col>
      <xdr:colOff>130963</xdr:colOff>
      <xdr:row>32</xdr:row>
      <xdr:rowOff>617789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E81754D-EA42-465C-9ECE-FFAA079249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465" b="3672"/>
        <a:stretch/>
      </xdr:blipFill>
      <xdr:spPr>
        <a:xfrm>
          <a:off x="3490906" y="5706187"/>
          <a:ext cx="2557463" cy="1198102"/>
        </a:xfrm>
        <a:prstGeom prst="rect">
          <a:avLst/>
        </a:prstGeom>
      </xdr:spPr>
    </xdr:pic>
    <xdr:clientData/>
  </xdr:twoCellAnchor>
  <xdr:twoCellAnchor editAs="absolute">
    <xdr:from>
      <xdr:col>10</xdr:col>
      <xdr:colOff>241036</xdr:colOff>
      <xdr:row>1</xdr:row>
      <xdr:rowOff>56238</xdr:rowOff>
    </xdr:from>
    <xdr:to>
      <xdr:col>12</xdr:col>
      <xdr:colOff>1101868</xdr:colOff>
      <xdr:row>6</xdr:row>
      <xdr:rowOff>170729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4CD8981-312F-4959-88D8-11439A512B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0858"/>
        <a:stretch/>
      </xdr:blipFill>
      <xdr:spPr bwMode="auto">
        <a:xfrm>
          <a:off x="12921192" y="353894"/>
          <a:ext cx="3349239" cy="1090804"/>
        </a:xfrm>
        <a:prstGeom prst="rect">
          <a:avLst/>
        </a:prstGeom>
      </xdr:spPr>
    </xdr:pic>
    <xdr:clientData/>
  </xdr:twoCellAnchor>
  <xdr:twoCellAnchor editAs="absolute">
    <xdr:from>
      <xdr:col>11</xdr:col>
      <xdr:colOff>361168</xdr:colOff>
      <xdr:row>13</xdr:row>
      <xdr:rowOff>89519</xdr:rowOff>
    </xdr:from>
    <xdr:to>
      <xdr:col>12</xdr:col>
      <xdr:colOff>797727</xdr:colOff>
      <xdr:row>18</xdr:row>
      <xdr:rowOff>147255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2682777-FA04-4BAB-AA9D-4EDB68B94F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3" t="30986" r="26087" b="30436"/>
        <a:stretch/>
      </xdr:blipFill>
      <xdr:spPr>
        <a:xfrm>
          <a:off x="14351012" y="2732707"/>
          <a:ext cx="1615278" cy="974517"/>
        </a:xfrm>
        <a:prstGeom prst="rect">
          <a:avLst/>
        </a:prstGeom>
      </xdr:spPr>
    </xdr:pic>
    <xdr:clientData/>
  </xdr:twoCellAnchor>
  <xdr:twoCellAnchor editAs="absolute">
    <xdr:from>
      <xdr:col>1</xdr:col>
      <xdr:colOff>270022</xdr:colOff>
      <xdr:row>29</xdr:row>
      <xdr:rowOff>96992</xdr:rowOff>
    </xdr:from>
    <xdr:to>
      <xdr:col>2</xdr:col>
      <xdr:colOff>1620470</xdr:colOff>
      <xdr:row>33</xdr:row>
      <xdr:rowOff>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5CF5411-F9BF-4791-8DD5-D33BDB780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6710" y="5704836"/>
          <a:ext cx="2767291" cy="1212696"/>
        </a:xfrm>
        <a:prstGeom prst="rect">
          <a:avLst/>
        </a:prstGeom>
      </xdr:spPr>
    </xdr:pic>
    <xdr:clientData/>
  </xdr:twoCellAnchor>
  <xdr:twoCellAnchor editAs="absolute">
    <xdr:from>
      <xdr:col>5</xdr:col>
      <xdr:colOff>121394</xdr:colOff>
      <xdr:row>35</xdr:row>
      <xdr:rowOff>147632</xdr:rowOff>
    </xdr:from>
    <xdr:to>
      <xdr:col>6</xdr:col>
      <xdr:colOff>1142248</xdr:colOff>
      <xdr:row>39</xdr:row>
      <xdr:rowOff>107155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F486185-3D40-4546-8665-D92C71A423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4014"/>
        <a:stretch>
          <a:fillRect/>
        </a:stretch>
      </xdr:blipFill>
      <xdr:spPr>
        <a:xfrm>
          <a:off x="6038800" y="7850976"/>
          <a:ext cx="2556761" cy="769148"/>
        </a:xfrm>
        <a:prstGeom prst="rect">
          <a:avLst/>
        </a:prstGeom>
      </xdr:spPr>
    </xdr:pic>
    <xdr:clientData/>
  </xdr:twoCellAnchor>
  <xdr:twoCellAnchor editAs="absolute">
    <xdr:from>
      <xdr:col>11</xdr:col>
      <xdr:colOff>308644</xdr:colOff>
      <xdr:row>25</xdr:row>
      <xdr:rowOff>23811</xdr:rowOff>
    </xdr:from>
    <xdr:to>
      <xdr:col>12</xdr:col>
      <xdr:colOff>1092512</xdr:colOff>
      <xdr:row>29</xdr:row>
      <xdr:rowOff>189588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DC2B9A6-CA5C-4DDA-875E-5A18C52CA7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0" t="35252" r="27367" b="34393"/>
        <a:stretch/>
      </xdr:blipFill>
      <xdr:spPr>
        <a:xfrm>
          <a:off x="14298488" y="4869655"/>
          <a:ext cx="1962587" cy="927777"/>
        </a:xfrm>
        <a:prstGeom prst="rect">
          <a:avLst/>
        </a:prstGeom>
      </xdr:spPr>
    </xdr:pic>
    <xdr:clientData/>
  </xdr:twoCellAnchor>
  <xdr:twoCellAnchor editAs="absolute">
    <xdr:from>
      <xdr:col>11</xdr:col>
      <xdr:colOff>305561</xdr:colOff>
      <xdr:row>19</xdr:row>
      <xdr:rowOff>59529</xdr:rowOff>
    </xdr:from>
    <xdr:to>
      <xdr:col>12</xdr:col>
      <xdr:colOff>1094360</xdr:colOff>
      <xdr:row>23</xdr:row>
      <xdr:rowOff>161807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B5B63243-A876-481F-B19A-1A925520B0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5" t="32318" r="6927" b="21407"/>
        <a:stretch/>
      </xdr:blipFill>
      <xdr:spPr>
        <a:xfrm>
          <a:off x="14295405" y="3798092"/>
          <a:ext cx="1967518" cy="840465"/>
        </a:xfrm>
        <a:prstGeom prst="rect">
          <a:avLst/>
        </a:prstGeom>
      </xdr:spPr>
    </xdr:pic>
    <xdr:clientData/>
  </xdr:twoCellAnchor>
  <xdr:twoCellAnchor editAs="absolute">
    <xdr:from>
      <xdr:col>4</xdr:col>
      <xdr:colOff>88121</xdr:colOff>
      <xdr:row>37</xdr:row>
      <xdr:rowOff>52716</xdr:rowOff>
    </xdr:from>
    <xdr:to>
      <xdr:col>5</xdr:col>
      <xdr:colOff>30899</xdr:colOff>
      <xdr:row>42</xdr:row>
      <xdr:rowOff>107151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1C6C743-DD33-4082-86BE-C064256FA9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75" t="29546" r="17773" b="12018"/>
        <a:stretch/>
      </xdr:blipFill>
      <xdr:spPr>
        <a:xfrm>
          <a:off x="4624402" y="8184685"/>
          <a:ext cx="1323903" cy="983122"/>
        </a:xfrm>
        <a:prstGeom prst="rect">
          <a:avLst/>
        </a:prstGeom>
      </xdr:spPr>
    </xdr:pic>
    <xdr:clientData/>
  </xdr:twoCellAnchor>
  <xdr:twoCellAnchor editAs="absolute">
    <xdr:from>
      <xdr:col>1</xdr:col>
      <xdr:colOff>95703</xdr:colOff>
      <xdr:row>37</xdr:row>
      <xdr:rowOff>9965</xdr:rowOff>
    </xdr:from>
    <xdr:to>
      <xdr:col>2</xdr:col>
      <xdr:colOff>20593</xdr:colOff>
      <xdr:row>42</xdr:row>
      <xdr:rowOff>95244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CCBF3A3-E306-4B61-934C-307A82117E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30" t="29120" r="20197" b="14559"/>
        <a:stretch/>
      </xdr:blipFill>
      <xdr:spPr>
        <a:xfrm>
          <a:off x="262391" y="8141934"/>
          <a:ext cx="1341733" cy="1013966"/>
        </a:xfrm>
        <a:prstGeom prst="rect">
          <a:avLst/>
        </a:prstGeom>
      </xdr:spPr>
    </xdr:pic>
    <xdr:clientData/>
  </xdr:twoCellAnchor>
  <xdr:twoCellAnchor editAs="absolute">
    <xdr:from>
      <xdr:col>2</xdr:col>
      <xdr:colOff>1601378</xdr:colOff>
      <xdr:row>36</xdr:row>
      <xdr:rowOff>189124</xdr:rowOff>
    </xdr:from>
    <xdr:to>
      <xdr:col>3</xdr:col>
      <xdr:colOff>1214436</xdr:colOff>
      <xdr:row>42</xdr:row>
      <xdr:rowOff>38616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18D0FE8-785D-4186-8355-267552380A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84" t="29815" r="24097" b="14228"/>
        <a:stretch/>
      </xdr:blipFill>
      <xdr:spPr>
        <a:xfrm>
          <a:off x="3184909" y="8106780"/>
          <a:ext cx="1351371" cy="992492"/>
        </a:xfrm>
        <a:prstGeom prst="rect">
          <a:avLst/>
        </a:prstGeom>
      </xdr:spPr>
    </xdr:pic>
    <xdr:clientData/>
  </xdr:twoCellAnchor>
  <xdr:twoCellAnchor editAs="absolute">
    <xdr:from>
      <xdr:col>2</xdr:col>
      <xdr:colOff>35244</xdr:colOff>
      <xdr:row>37</xdr:row>
      <xdr:rowOff>28750</xdr:rowOff>
    </xdr:from>
    <xdr:to>
      <xdr:col>2</xdr:col>
      <xdr:colOff>1530902</xdr:colOff>
      <xdr:row>42</xdr:row>
      <xdr:rowOff>119058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27293C4-FC7E-4A60-8073-88C3C6CEC7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52" t="28478" r="24602" b="16226"/>
        <a:stretch/>
      </xdr:blipFill>
      <xdr:spPr>
        <a:xfrm>
          <a:off x="1618775" y="8160719"/>
          <a:ext cx="1495658" cy="1018995"/>
        </a:xfrm>
        <a:prstGeom prst="rect">
          <a:avLst/>
        </a:prstGeom>
      </xdr:spPr>
    </xdr:pic>
    <xdr:clientData/>
  </xdr:twoCellAnchor>
  <xdr:twoCellAnchor editAs="absolute">
    <xdr:from>
      <xdr:col>11</xdr:col>
      <xdr:colOff>307832</xdr:colOff>
      <xdr:row>32</xdr:row>
      <xdr:rowOff>47623</xdr:rowOff>
    </xdr:from>
    <xdr:to>
      <xdr:col>12</xdr:col>
      <xdr:colOff>1099578</xdr:colOff>
      <xdr:row>33</xdr:row>
      <xdr:rowOff>298734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F06F4572-0E2E-448F-99CF-85895B7B1A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9" t="24912" r="1853" b="19278"/>
        <a:stretch/>
      </xdr:blipFill>
      <xdr:spPr>
        <a:xfrm>
          <a:off x="14297676" y="6334123"/>
          <a:ext cx="1970465" cy="882142"/>
        </a:xfrm>
        <a:prstGeom prst="rect">
          <a:avLst/>
        </a:prstGeom>
      </xdr:spPr>
    </xdr:pic>
    <xdr:clientData/>
  </xdr:twoCellAnchor>
  <xdr:twoCellAnchor editAs="absolute">
    <xdr:from>
      <xdr:col>5</xdr:col>
      <xdr:colOff>404809</xdr:colOff>
      <xdr:row>29</xdr:row>
      <xdr:rowOff>92822</xdr:rowOff>
    </xdr:from>
    <xdr:to>
      <xdr:col>6</xdr:col>
      <xdr:colOff>892967</xdr:colOff>
      <xdr:row>33</xdr:row>
      <xdr:rowOff>1628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9AA82A94-67D1-43DF-ACC4-3DED1779AC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243" t="8228" r="2994" b="5191"/>
        <a:stretch>
          <a:fillRect/>
        </a:stretch>
      </xdr:blipFill>
      <xdr:spPr>
        <a:xfrm>
          <a:off x="6322215" y="5700666"/>
          <a:ext cx="2024065" cy="1218493"/>
        </a:xfrm>
        <a:prstGeom prst="rect">
          <a:avLst/>
        </a:prstGeom>
      </xdr:spPr>
    </xdr:pic>
    <xdr:clientData/>
  </xdr:twoCellAnchor>
  <xdr:twoCellAnchor>
    <xdr:from>
      <xdr:col>5</xdr:col>
      <xdr:colOff>225555</xdr:colOff>
      <xdr:row>54</xdr:row>
      <xdr:rowOff>92975</xdr:rowOff>
    </xdr:from>
    <xdr:to>
      <xdr:col>6</xdr:col>
      <xdr:colOff>986970</xdr:colOff>
      <xdr:row>60</xdr:row>
      <xdr:rowOff>40816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9812F79-F0F0-4E0E-B77E-91D8505649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53" t="18129" r="18421" b="24795"/>
        <a:stretch/>
      </xdr:blipFill>
      <xdr:spPr>
        <a:xfrm>
          <a:off x="6142961" y="11415819"/>
          <a:ext cx="2297322" cy="1138466"/>
        </a:xfrm>
        <a:prstGeom prst="rect">
          <a:avLst/>
        </a:prstGeom>
      </xdr:spPr>
    </xdr:pic>
    <xdr:clientData/>
  </xdr:twoCellAnchor>
  <xdr:twoCellAnchor editAs="absolute">
    <xdr:from>
      <xdr:col>5</xdr:col>
      <xdr:colOff>154781</xdr:colOff>
      <xdr:row>44</xdr:row>
      <xdr:rowOff>19044</xdr:rowOff>
    </xdr:from>
    <xdr:to>
      <xdr:col>6</xdr:col>
      <xdr:colOff>1114379</xdr:colOff>
      <xdr:row>49</xdr:row>
      <xdr:rowOff>154779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1206034B-8DCE-49C9-894F-837BE5B64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072187" y="9448794"/>
          <a:ext cx="2495505" cy="1076329"/>
        </a:xfrm>
        <a:prstGeom prst="rect">
          <a:avLst/>
        </a:prstGeom>
      </xdr:spPr>
    </xdr:pic>
    <xdr:clientData/>
  </xdr:twoCellAnchor>
  <xdr:twoCellAnchor>
    <xdr:from>
      <xdr:col>10</xdr:col>
      <xdr:colOff>1095374</xdr:colOff>
      <xdr:row>88</xdr:row>
      <xdr:rowOff>133351</xdr:rowOff>
    </xdr:from>
    <xdr:to>
      <xdr:col>13</xdr:col>
      <xdr:colOff>216887</xdr:colOff>
      <xdr:row>92</xdr:row>
      <xdr:rowOff>65121</xdr:rowOff>
    </xdr:to>
    <xdr:grpSp>
      <xdr:nvGrpSpPr>
        <xdr:cNvPr id="19" name="Группа 18">
          <a:extLst>
            <a:ext uri="{FF2B5EF4-FFF2-40B4-BE49-F238E27FC236}">
              <a16:creationId xmlns:a16="http://schemas.microsoft.com/office/drawing/2014/main" id="{FC1F7435-5489-4005-A920-156445A3DF9E}"/>
            </a:ext>
          </a:extLst>
        </xdr:cNvPr>
        <xdr:cNvGrpSpPr/>
      </xdr:nvGrpSpPr>
      <xdr:grpSpPr>
        <a:xfrm>
          <a:off x="13775530" y="17980820"/>
          <a:ext cx="2741013" cy="669957"/>
          <a:chOff x="8648699" y="15678150"/>
          <a:chExt cx="3608715" cy="828675"/>
        </a:xfrm>
      </xdr:grpSpPr>
      <xdr:pic>
        <xdr:nvPicPr>
          <xdr:cNvPr id="20" name="Рисунок 19">
            <a:extLst>
              <a:ext uri="{FF2B5EF4-FFF2-40B4-BE49-F238E27FC236}">
                <a16:creationId xmlns:a16="http://schemas.microsoft.com/office/drawing/2014/main" id="{02ABC95D-4E48-30CD-807C-F1E48D687DB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595" t="16803" r="14228" b="23459"/>
          <a:stretch>
            <a:fillRect/>
          </a:stretch>
        </xdr:blipFill>
        <xdr:spPr>
          <a:xfrm>
            <a:off x="10526812" y="15678150"/>
            <a:ext cx="1730602" cy="828675"/>
          </a:xfrm>
          <a:prstGeom prst="rect">
            <a:avLst/>
          </a:prstGeom>
        </xdr:spPr>
      </xdr:pic>
      <xdr:pic>
        <xdr:nvPicPr>
          <xdr:cNvPr id="21" name="Рисунок 20">
            <a:extLst>
              <a:ext uri="{FF2B5EF4-FFF2-40B4-BE49-F238E27FC236}">
                <a16:creationId xmlns:a16="http://schemas.microsoft.com/office/drawing/2014/main" id="{F6BC2838-6957-6DFA-ACE6-6E2B1ECFA78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3453" b="19218"/>
          <a:stretch>
            <a:fillRect/>
          </a:stretch>
        </xdr:blipFill>
        <xdr:spPr>
          <a:xfrm>
            <a:off x="8648699" y="15687676"/>
            <a:ext cx="1847851" cy="81851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254794</xdr:colOff>
      <xdr:row>69</xdr:row>
      <xdr:rowOff>2381</xdr:rowOff>
    </xdr:from>
    <xdr:to>
      <xdr:col>6</xdr:col>
      <xdr:colOff>92869</xdr:colOff>
      <xdr:row>76</xdr:row>
      <xdr:rowOff>76200</xdr:rowOff>
    </xdr:to>
    <xdr:grpSp>
      <xdr:nvGrpSpPr>
        <xdr:cNvPr id="22" name="Группа 21">
          <a:extLst>
            <a:ext uri="{FF2B5EF4-FFF2-40B4-BE49-F238E27FC236}">
              <a16:creationId xmlns:a16="http://schemas.microsoft.com/office/drawing/2014/main" id="{D0B1D050-D57E-48E1-BBB6-8C09C53D8F25}"/>
            </a:ext>
          </a:extLst>
        </xdr:cNvPr>
        <xdr:cNvGrpSpPr/>
      </xdr:nvGrpSpPr>
      <xdr:grpSpPr>
        <a:xfrm>
          <a:off x="421482" y="14301787"/>
          <a:ext cx="7124700" cy="1335882"/>
          <a:chOff x="457200" y="12753975"/>
          <a:chExt cx="7153275" cy="1333500"/>
        </a:xfrm>
      </xdr:grpSpPr>
      <xdr:pic>
        <xdr:nvPicPr>
          <xdr:cNvPr id="23" name="Рисунок 22">
            <a:extLst>
              <a:ext uri="{FF2B5EF4-FFF2-40B4-BE49-F238E27FC236}">
                <a16:creationId xmlns:a16="http://schemas.microsoft.com/office/drawing/2014/main" id="{F9B64630-1AD9-AFFA-E613-996ABE2ECA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/>
          <a:stretch>
            <a:fillRect/>
          </a:stretch>
        </xdr:blipFill>
        <xdr:spPr>
          <a:xfrm>
            <a:off x="457200" y="12839700"/>
            <a:ext cx="3219668" cy="1247775"/>
          </a:xfrm>
          <a:prstGeom prst="rect">
            <a:avLst/>
          </a:prstGeom>
        </xdr:spPr>
      </xdr:pic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56CED8B3-43F8-3FE8-F6A1-EAF460E6B6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/>
          <a:stretch>
            <a:fillRect/>
          </a:stretch>
        </xdr:blipFill>
        <xdr:spPr>
          <a:xfrm>
            <a:off x="5353050" y="12753975"/>
            <a:ext cx="2257425" cy="1189217"/>
          </a:xfrm>
          <a:prstGeom prst="rect">
            <a:avLst/>
          </a:prstGeom>
        </xdr:spPr>
      </xdr:pic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AE1CA240-7B9B-942D-B85F-E67A8B70D3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/>
          <a:stretch>
            <a:fillRect/>
          </a:stretch>
        </xdr:blipFill>
        <xdr:spPr>
          <a:xfrm>
            <a:off x="3714750" y="12792075"/>
            <a:ext cx="1638300" cy="26553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271464</xdr:colOff>
      <xdr:row>75</xdr:row>
      <xdr:rowOff>164307</xdr:rowOff>
    </xdr:from>
    <xdr:to>
      <xdr:col>6</xdr:col>
      <xdr:colOff>519036</xdr:colOff>
      <xdr:row>84</xdr:row>
      <xdr:rowOff>88107</xdr:rowOff>
    </xdr:to>
    <xdr:grpSp>
      <xdr:nvGrpSpPr>
        <xdr:cNvPr id="26" name="Группа 25">
          <a:extLst>
            <a:ext uri="{FF2B5EF4-FFF2-40B4-BE49-F238E27FC236}">
              <a16:creationId xmlns:a16="http://schemas.microsoft.com/office/drawing/2014/main" id="{C18B7569-DC82-4152-9430-9EC925CB0EF2}"/>
            </a:ext>
          </a:extLst>
        </xdr:cNvPr>
        <xdr:cNvGrpSpPr/>
      </xdr:nvGrpSpPr>
      <xdr:grpSpPr>
        <a:xfrm>
          <a:off x="438152" y="15535276"/>
          <a:ext cx="7534197" cy="1638300"/>
          <a:chOff x="485776" y="14020800"/>
          <a:chExt cx="7562772" cy="1552575"/>
        </a:xfrm>
      </xdr:grpSpPr>
      <xdr:pic>
        <xdr:nvPicPr>
          <xdr:cNvPr id="27" name="Рисунок 26">
            <a:extLst>
              <a:ext uri="{FF2B5EF4-FFF2-40B4-BE49-F238E27FC236}">
                <a16:creationId xmlns:a16="http://schemas.microsoft.com/office/drawing/2014/main" id="{A2CC00B4-CC24-3BB9-E2E6-5CCA1825C85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1"/>
          <a:srcRect r="46056"/>
          <a:stretch>
            <a:fillRect/>
          </a:stretch>
        </xdr:blipFill>
        <xdr:spPr>
          <a:xfrm>
            <a:off x="485776" y="14363700"/>
            <a:ext cx="3257550" cy="1209675"/>
          </a:xfrm>
          <a:prstGeom prst="rect">
            <a:avLst/>
          </a:prstGeom>
        </xdr:spPr>
      </xdr:pic>
      <xdr:pic>
        <xdr:nvPicPr>
          <xdr:cNvPr id="28" name="Рисунок 27">
            <a:extLst>
              <a:ext uri="{FF2B5EF4-FFF2-40B4-BE49-F238E27FC236}">
                <a16:creationId xmlns:a16="http://schemas.microsoft.com/office/drawing/2014/main" id="{DBC14093-1C51-5AFE-D0BA-984AFFF37F6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1"/>
          <a:srcRect l="53471"/>
          <a:stretch>
            <a:fillRect/>
          </a:stretch>
        </xdr:blipFill>
        <xdr:spPr>
          <a:xfrm>
            <a:off x="5238750" y="14201775"/>
            <a:ext cx="2809798" cy="1209675"/>
          </a:xfrm>
          <a:prstGeom prst="rect">
            <a:avLst/>
          </a:prstGeom>
        </xdr:spPr>
      </xdr:pic>
      <xdr:pic>
        <xdr:nvPicPr>
          <xdr:cNvPr id="29" name="Рисунок 28">
            <a:extLst>
              <a:ext uri="{FF2B5EF4-FFF2-40B4-BE49-F238E27FC236}">
                <a16:creationId xmlns:a16="http://schemas.microsoft.com/office/drawing/2014/main" id="{B5750793-9DF1-1620-C234-28DA8DE041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3409950" y="14020800"/>
            <a:ext cx="2181225" cy="269219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278606</xdr:colOff>
      <xdr:row>84</xdr:row>
      <xdr:rowOff>54769</xdr:rowOff>
    </xdr:from>
    <xdr:to>
      <xdr:col>6</xdr:col>
      <xdr:colOff>659572</xdr:colOff>
      <xdr:row>94</xdr:row>
      <xdr:rowOff>9525</xdr:rowOff>
    </xdr:to>
    <xdr:grpSp>
      <xdr:nvGrpSpPr>
        <xdr:cNvPr id="30" name="Группа 29">
          <a:extLst>
            <a:ext uri="{FF2B5EF4-FFF2-40B4-BE49-F238E27FC236}">
              <a16:creationId xmlns:a16="http://schemas.microsoft.com/office/drawing/2014/main" id="{D519BB7C-8BA2-4504-94BA-75D94EC0B0D1}"/>
            </a:ext>
          </a:extLst>
        </xdr:cNvPr>
        <xdr:cNvGrpSpPr/>
      </xdr:nvGrpSpPr>
      <xdr:grpSpPr>
        <a:xfrm>
          <a:off x="445294" y="17140238"/>
          <a:ext cx="7667591" cy="1824037"/>
          <a:chOff x="457200" y="15478125"/>
          <a:chExt cx="7696166" cy="1752600"/>
        </a:xfrm>
      </xdr:grpSpPr>
      <xdr:pic>
        <xdr:nvPicPr>
          <xdr:cNvPr id="31" name="Рисунок 30">
            <a:extLst>
              <a:ext uri="{FF2B5EF4-FFF2-40B4-BE49-F238E27FC236}">
                <a16:creationId xmlns:a16="http://schemas.microsoft.com/office/drawing/2014/main" id="{10FD0C2B-4113-248D-0226-2F89CA75C8F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3"/>
          <a:srcRect r="46200"/>
          <a:stretch>
            <a:fillRect/>
          </a:stretch>
        </xdr:blipFill>
        <xdr:spPr>
          <a:xfrm>
            <a:off x="457200" y="15811500"/>
            <a:ext cx="3371850" cy="1419225"/>
          </a:xfrm>
          <a:prstGeom prst="rect">
            <a:avLst/>
          </a:prstGeom>
        </xdr:spPr>
      </xdr:pic>
      <xdr:pic>
        <xdr:nvPicPr>
          <xdr:cNvPr id="32" name="Рисунок 31">
            <a:extLst>
              <a:ext uri="{FF2B5EF4-FFF2-40B4-BE49-F238E27FC236}">
                <a16:creationId xmlns:a16="http://schemas.microsoft.com/office/drawing/2014/main" id="{43AE65E8-8EE4-46DE-CDE1-D463781EBF1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3"/>
          <a:srcRect l="53496"/>
          <a:stretch>
            <a:fillRect/>
          </a:stretch>
        </xdr:blipFill>
        <xdr:spPr>
          <a:xfrm>
            <a:off x="5238750" y="15678150"/>
            <a:ext cx="2914616" cy="1419225"/>
          </a:xfrm>
          <a:prstGeom prst="rect">
            <a:avLst/>
          </a:prstGeom>
        </xdr:spPr>
      </xdr:pic>
      <xdr:pic>
        <xdr:nvPicPr>
          <xdr:cNvPr id="33" name="Рисунок 32">
            <a:extLst>
              <a:ext uri="{FF2B5EF4-FFF2-40B4-BE49-F238E27FC236}">
                <a16:creationId xmlns:a16="http://schemas.microsoft.com/office/drawing/2014/main" id="{C53D13DD-1978-65A1-A63E-7E85C4FD23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/>
          <a:stretch>
            <a:fillRect/>
          </a:stretch>
        </xdr:blipFill>
        <xdr:spPr>
          <a:xfrm>
            <a:off x="3571876" y="15478125"/>
            <a:ext cx="2066928" cy="295275"/>
          </a:xfrm>
          <a:prstGeom prst="rect">
            <a:avLst/>
          </a:prstGeom>
        </xdr:spPr>
      </xdr:pic>
    </xdr:grpSp>
    <xdr:clientData/>
  </xdr:twoCellAnchor>
  <xdr:twoCellAnchor editAs="absolute">
    <xdr:from>
      <xdr:col>6</xdr:col>
      <xdr:colOff>690561</xdr:colOff>
      <xdr:row>74</xdr:row>
      <xdr:rowOff>54768</xdr:rowOff>
    </xdr:from>
    <xdr:to>
      <xdr:col>10</xdr:col>
      <xdr:colOff>953533</xdr:colOff>
      <xdr:row>94</xdr:row>
      <xdr:rowOff>121442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CC6CD25A-319E-42B9-8E66-C136D4D6B4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1017" t="4462" r="-1"/>
        <a:stretch>
          <a:fillRect/>
        </a:stretch>
      </xdr:blipFill>
      <xdr:spPr>
        <a:xfrm>
          <a:off x="8143874" y="15247143"/>
          <a:ext cx="5489815" cy="3829049"/>
        </a:xfrm>
        <a:prstGeom prst="rect">
          <a:avLst/>
        </a:prstGeom>
      </xdr:spPr>
    </xdr:pic>
    <xdr:clientData/>
  </xdr:twoCellAnchor>
  <xdr:twoCellAnchor editAs="absolute">
    <xdr:from>
      <xdr:col>10</xdr:col>
      <xdr:colOff>240965</xdr:colOff>
      <xdr:row>7</xdr:row>
      <xdr:rowOff>49882</xdr:rowOff>
    </xdr:from>
    <xdr:to>
      <xdr:col>12</xdr:col>
      <xdr:colOff>1114882</xdr:colOff>
      <xdr:row>13</xdr:row>
      <xdr:rowOff>49107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3D23364-1A1D-4BC8-98C1-841BA6CB18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b="5325"/>
        <a:stretch/>
      </xdr:blipFill>
      <xdr:spPr bwMode="auto">
        <a:xfrm>
          <a:off x="12921121" y="1514351"/>
          <a:ext cx="3362324" cy="1177944"/>
        </a:xfrm>
        <a:prstGeom prst="rect">
          <a:avLst/>
        </a:prstGeom>
      </xdr:spPr>
    </xdr:pic>
    <xdr:clientData/>
  </xdr:twoCellAnchor>
  <xdr:twoCellAnchor editAs="absolute">
    <xdr:from>
      <xdr:col>5</xdr:col>
      <xdr:colOff>142874</xdr:colOff>
      <xdr:row>60</xdr:row>
      <xdr:rowOff>119055</xdr:rowOff>
    </xdr:from>
    <xdr:to>
      <xdr:col>6</xdr:col>
      <xdr:colOff>1083468</xdr:colOff>
      <xdr:row>66</xdr:row>
      <xdr:rowOff>60897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8818B1EA-D412-4E75-9A00-D42E529B68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t="21975"/>
        <a:stretch/>
      </xdr:blipFill>
      <xdr:spPr>
        <a:xfrm>
          <a:off x="6060280" y="12632524"/>
          <a:ext cx="2476501" cy="1108654"/>
        </a:xfrm>
        <a:prstGeom prst="rect">
          <a:avLst/>
        </a:prstGeom>
      </xdr:spPr>
    </xdr:pic>
    <xdr:clientData/>
  </xdr:twoCellAnchor>
  <xdr:twoCellAnchor editAs="oneCell">
    <xdr:from>
      <xdr:col>7</xdr:col>
      <xdr:colOff>70544</xdr:colOff>
      <xdr:row>37</xdr:row>
      <xdr:rowOff>154781</xdr:rowOff>
    </xdr:from>
    <xdr:to>
      <xdr:col>8</xdr:col>
      <xdr:colOff>5158</xdr:colOff>
      <xdr:row>42</xdr:row>
      <xdr:rowOff>35718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4ABA98A3-0677-C37D-523F-10F3FDEE9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583513" y="7953375"/>
          <a:ext cx="1369714" cy="809624"/>
        </a:xfrm>
        <a:prstGeom prst="rect">
          <a:avLst/>
        </a:prstGeom>
      </xdr:spPr>
    </xdr:pic>
    <xdr:clientData/>
  </xdr:twoCellAnchor>
  <xdr:twoCellAnchor editAs="oneCell">
    <xdr:from>
      <xdr:col>8</xdr:col>
      <xdr:colOff>23812</xdr:colOff>
      <xdr:row>37</xdr:row>
      <xdr:rowOff>95250</xdr:rowOff>
    </xdr:from>
    <xdr:to>
      <xdr:col>8</xdr:col>
      <xdr:colOff>1190624</xdr:colOff>
      <xdr:row>42</xdr:row>
      <xdr:rowOff>55135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E4242B57-FCC8-BCE8-AE35-98CF87C81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132218" y="7917656"/>
          <a:ext cx="1166812" cy="888572"/>
        </a:xfrm>
        <a:prstGeom prst="rect">
          <a:avLst/>
        </a:prstGeom>
      </xdr:spPr>
    </xdr:pic>
    <xdr:clientData/>
  </xdr:twoCellAnchor>
  <xdr:twoCellAnchor editAs="oneCell">
    <xdr:from>
      <xdr:col>10</xdr:col>
      <xdr:colOff>98326</xdr:colOff>
      <xdr:row>38</xdr:row>
      <xdr:rowOff>47625</xdr:rowOff>
    </xdr:from>
    <xdr:to>
      <xdr:col>11</xdr:col>
      <xdr:colOff>49687</xdr:colOff>
      <xdr:row>41</xdr:row>
      <xdr:rowOff>142874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482A0AD9-EE3A-7750-71A9-86BA9CFBF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2623701" y="8036719"/>
          <a:ext cx="1261049" cy="642936"/>
        </a:xfrm>
        <a:prstGeom prst="rect">
          <a:avLst/>
        </a:prstGeom>
      </xdr:spPr>
    </xdr:pic>
    <xdr:clientData/>
  </xdr:twoCellAnchor>
  <xdr:twoCellAnchor editAs="oneCell">
    <xdr:from>
      <xdr:col>8</xdr:col>
      <xdr:colOff>1273967</xdr:colOff>
      <xdr:row>38</xdr:row>
      <xdr:rowOff>23812</xdr:rowOff>
    </xdr:from>
    <xdr:to>
      <xdr:col>10</xdr:col>
      <xdr:colOff>44840</xdr:colOff>
      <xdr:row>41</xdr:row>
      <xdr:rowOff>171908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8D562F6D-8CAC-256B-E642-8AAB6E825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227592" y="8012906"/>
          <a:ext cx="1342623" cy="695783"/>
        </a:xfrm>
        <a:prstGeom prst="rect">
          <a:avLst/>
        </a:prstGeom>
      </xdr:spPr>
    </xdr:pic>
    <xdr:clientData/>
  </xdr:twoCellAnchor>
  <xdr:twoCellAnchor editAs="oneCell">
    <xdr:from>
      <xdr:col>9</xdr:col>
      <xdr:colOff>202670</xdr:colOff>
      <xdr:row>59</xdr:row>
      <xdr:rowOff>178594</xdr:rowOff>
    </xdr:from>
    <xdr:to>
      <xdr:col>10</xdr:col>
      <xdr:colOff>1203133</xdr:colOff>
      <xdr:row>65</xdr:row>
      <xdr:rowOff>166688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958C6499-B901-7314-519F-F61528629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644576" y="12501563"/>
          <a:ext cx="2238713" cy="1131094"/>
        </a:xfrm>
        <a:prstGeom prst="rect">
          <a:avLst/>
        </a:prstGeom>
      </xdr:spPr>
    </xdr:pic>
    <xdr:clientData/>
  </xdr:twoCellAnchor>
  <xdr:twoCellAnchor editAs="oneCell">
    <xdr:from>
      <xdr:col>11</xdr:col>
      <xdr:colOff>119063</xdr:colOff>
      <xdr:row>36</xdr:row>
      <xdr:rowOff>166688</xdr:rowOff>
    </xdr:from>
    <xdr:to>
      <xdr:col>13</xdr:col>
      <xdr:colOff>256716</xdr:colOff>
      <xdr:row>42</xdr:row>
      <xdr:rowOff>142080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6CFC4830-29D3-5E94-F03C-EFDD1A88D0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t="11242" b="6319"/>
        <a:stretch>
          <a:fillRect/>
        </a:stretch>
      </xdr:blipFill>
      <xdr:spPr>
        <a:xfrm>
          <a:off x="14108907" y="8084344"/>
          <a:ext cx="2447465" cy="1118392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142875</xdr:colOff>
      <xdr:row>43</xdr:row>
      <xdr:rowOff>190498</xdr:rowOff>
    </xdr:from>
    <xdr:to>
      <xdr:col>13</xdr:col>
      <xdr:colOff>250029</xdr:colOff>
      <xdr:row>49</xdr:row>
      <xdr:rowOff>149492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93769754-B646-A13D-855C-1289064E9D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t="7956"/>
        <a:stretch>
          <a:fillRect/>
        </a:stretch>
      </xdr:blipFill>
      <xdr:spPr>
        <a:xfrm>
          <a:off x="14132719" y="9429748"/>
          <a:ext cx="2416966" cy="1090088"/>
        </a:xfrm>
        <a:prstGeom prst="rect">
          <a:avLst/>
        </a:prstGeom>
      </xdr:spPr>
    </xdr:pic>
    <xdr:clientData/>
  </xdr:twoCellAnchor>
  <xdr:twoCellAnchor>
    <xdr:from>
      <xdr:col>11</xdr:col>
      <xdr:colOff>47623</xdr:colOff>
      <xdr:row>50</xdr:row>
      <xdr:rowOff>119063</xdr:rowOff>
    </xdr:from>
    <xdr:to>
      <xdr:col>14</xdr:col>
      <xdr:colOff>71437</xdr:colOff>
      <xdr:row>66</xdr:row>
      <xdr:rowOff>142876</xdr:rowOff>
    </xdr:to>
    <xdr:grpSp>
      <xdr:nvGrpSpPr>
        <xdr:cNvPr id="63" name="Группа 62">
          <a:extLst>
            <a:ext uri="{FF2B5EF4-FFF2-40B4-BE49-F238E27FC236}">
              <a16:creationId xmlns:a16="http://schemas.microsoft.com/office/drawing/2014/main" id="{67805445-60D2-E68C-D8ED-043951BBD4F9}"/>
            </a:ext>
          </a:extLst>
        </xdr:cNvPr>
        <xdr:cNvGrpSpPr/>
      </xdr:nvGrpSpPr>
      <xdr:grpSpPr>
        <a:xfrm>
          <a:off x="14037467" y="10679907"/>
          <a:ext cx="2643189" cy="3143250"/>
          <a:chOff x="13882687" y="10715625"/>
          <a:chExt cx="2643189" cy="3143249"/>
        </a:xfrm>
      </xdr:grpSpPr>
      <xdr:pic>
        <xdr:nvPicPr>
          <xdr:cNvPr id="57" name="Рисунок 56">
            <a:extLst>
              <a:ext uri="{FF2B5EF4-FFF2-40B4-BE49-F238E27FC236}">
                <a16:creationId xmlns:a16="http://schemas.microsoft.com/office/drawing/2014/main" id="{3A091E29-E9FE-7D2A-07F3-7C96A430BA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882687" y="10715625"/>
            <a:ext cx="2514599" cy="3143249"/>
          </a:xfrm>
          <a:prstGeom prst="rect">
            <a:avLst/>
          </a:prstGeom>
        </xdr:spPr>
      </xdr:pic>
      <xdr:cxnSp macro="">
        <xdr:nvCxnSpPr>
          <xdr:cNvPr id="49" name="Прямая соединительная линия 48">
            <a:extLst>
              <a:ext uri="{FF2B5EF4-FFF2-40B4-BE49-F238E27FC236}">
                <a16:creationId xmlns:a16="http://schemas.microsoft.com/office/drawing/2014/main" id="{189B85DD-6A27-C67C-A631-E7E91E3B94BF}"/>
              </a:ext>
            </a:extLst>
          </xdr:cNvPr>
          <xdr:cNvCxnSpPr>
            <a:cxnSpLocks/>
          </xdr:cNvCxnSpPr>
        </xdr:nvCxnSpPr>
        <xdr:spPr>
          <a:xfrm>
            <a:off x="15057562" y="12100303"/>
            <a:ext cx="694407" cy="258384"/>
          </a:xfrm>
          <a:prstGeom prst="line">
            <a:avLst/>
          </a:prstGeom>
          <a:ln>
            <a:solidFill>
              <a:srgbClr val="B46D20"/>
            </a:solidFill>
            <a:headEnd type="none" w="med" len="med"/>
            <a:tailEnd type="oval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50" name="Группа 49">
            <a:extLst>
              <a:ext uri="{FF2B5EF4-FFF2-40B4-BE49-F238E27FC236}">
                <a16:creationId xmlns:a16="http://schemas.microsoft.com/office/drawing/2014/main" id="{02BE170D-F625-1F17-4CDC-3F077A385A15}"/>
              </a:ext>
            </a:extLst>
          </xdr:cNvPr>
          <xdr:cNvGrpSpPr/>
        </xdr:nvGrpSpPr>
        <xdr:grpSpPr>
          <a:xfrm>
            <a:off x="14929961" y="11971037"/>
            <a:ext cx="255203" cy="261625"/>
            <a:chOff x="7371864" y="993448"/>
            <a:chExt cx="367375" cy="376619"/>
          </a:xfrm>
        </xdr:grpSpPr>
        <xdr:sp macro="" textlink="">
          <xdr:nvSpPr>
            <xdr:cNvPr id="52" name="Блок-схема: узел 51">
              <a:extLst>
                <a:ext uri="{FF2B5EF4-FFF2-40B4-BE49-F238E27FC236}">
                  <a16:creationId xmlns:a16="http://schemas.microsoft.com/office/drawing/2014/main" id="{C5CAD873-7C99-E063-C020-D67D0A4D33BC}"/>
                </a:ext>
              </a:extLst>
            </xdr:cNvPr>
            <xdr:cNvSpPr/>
          </xdr:nvSpPr>
          <xdr:spPr>
            <a:xfrm>
              <a:off x="7371864" y="1002693"/>
              <a:ext cx="367375" cy="367374"/>
            </a:xfrm>
            <a:prstGeom prst="flowChartConnector">
              <a:avLst/>
            </a:prstGeom>
            <a:solidFill>
              <a:srgbClr val="B46D21"/>
            </a:solidFill>
            <a:ln w="12700"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ru-RU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ru-RU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53" name="TextBox 27">
              <a:extLst>
                <a:ext uri="{FF2B5EF4-FFF2-40B4-BE49-F238E27FC236}">
                  <a16:creationId xmlns:a16="http://schemas.microsoft.com/office/drawing/2014/main" id="{3FEB3A5F-E736-5672-AA77-6D2604D569EF}"/>
                </a:ext>
              </a:extLst>
            </xdr:cNvPr>
            <xdr:cNvSpPr txBox="1"/>
          </xdr:nvSpPr>
          <xdr:spPr>
            <a:xfrm>
              <a:off x="7406347" y="993448"/>
              <a:ext cx="298408" cy="372166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ru-RU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lnSpc>
                  <a:spcPct val="90000"/>
                </a:lnSpc>
              </a:pPr>
              <a:r>
                <a:rPr lang="en-US" sz="1200">
                  <a:solidFill>
                    <a:schemeClr val="bg1"/>
                  </a:solidFill>
                  <a:latin typeface="DIN Pro Regular"/>
                </a:rPr>
                <a:t>+</a:t>
              </a:r>
              <a:endParaRPr lang="ru-RU" sz="1200">
                <a:solidFill>
                  <a:schemeClr val="bg1"/>
                </a:solidFill>
                <a:latin typeface="DIN Pro Regular"/>
              </a:endParaRPr>
            </a:p>
          </xdr:txBody>
        </xdr:sp>
      </xdr:grpSp>
      <xdr:sp macro="" textlink="">
        <xdr:nvSpPr>
          <xdr:cNvPr id="46" name="TextBox 16">
            <a:extLst>
              <a:ext uri="{FF2B5EF4-FFF2-40B4-BE49-F238E27FC236}">
                <a16:creationId xmlns:a16="http://schemas.microsoft.com/office/drawing/2014/main" id="{341C59A4-CD7D-F75B-3FF7-33FB05227E55}"/>
              </a:ext>
            </a:extLst>
          </xdr:cNvPr>
          <xdr:cNvSpPr txBox="1"/>
        </xdr:nvSpPr>
        <xdr:spPr>
          <a:xfrm>
            <a:off x="15315250" y="12391433"/>
            <a:ext cx="1210626" cy="53065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400">
                <a:solidFill>
                  <a:sysClr val="windowText" lastClr="000000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  <a:t>Бортик-разделитель</a:t>
            </a:r>
          </a:p>
        </xdr:txBody>
      </xdr:sp>
      <xdr:cxnSp macro="">
        <xdr:nvCxnSpPr>
          <xdr:cNvPr id="47" name="Прямая соединительная линия 46">
            <a:extLst>
              <a:ext uri="{FF2B5EF4-FFF2-40B4-BE49-F238E27FC236}">
                <a16:creationId xmlns:a16="http://schemas.microsoft.com/office/drawing/2014/main" id="{F1FA9610-D783-5B0E-06EE-125FD1CEAC8A}"/>
              </a:ext>
            </a:extLst>
          </xdr:cNvPr>
          <xdr:cNvCxnSpPr>
            <a:cxnSpLocks/>
          </xdr:cNvCxnSpPr>
        </xdr:nvCxnSpPr>
        <xdr:spPr>
          <a:xfrm>
            <a:off x="14155926" y="12593172"/>
            <a:ext cx="1084074" cy="598953"/>
          </a:xfrm>
          <a:prstGeom prst="line">
            <a:avLst/>
          </a:prstGeom>
          <a:ln>
            <a:solidFill>
              <a:srgbClr val="B46D20"/>
            </a:solidFill>
            <a:headEnd type="none" w="med" len="med"/>
            <a:tailEnd type="oval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8" name="Группа 47">
            <a:extLst>
              <a:ext uri="{FF2B5EF4-FFF2-40B4-BE49-F238E27FC236}">
                <a16:creationId xmlns:a16="http://schemas.microsoft.com/office/drawing/2014/main" id="{594DB85A-C7C3-6D03-E8F8-7D7077FEEFBE}"/>
              </a:ext>
            </a:extLst>
          </xdr:cNvPr>
          <xdr:cNvGrpSpPr/>
        </xdr:nvGrpSpPr>
        <xdr:grpSpPr>
          <a:xfrm>
            <a:off x="14028325" y="12463906"/>
            <a:ext cx="255203" cy="261625"/>
            <a:chOff x="7371864" y="993448"/>
            <a:chExt cx="367375" cy="376619"/>
          </a:xfrm>
        </xdr:grpSpPr>
        <xdr:sp macro="" textlink="">
          <xdr:nvSpPr>
            <xdr:cNvPr id="54" name="Блок-схема: узел 53">
              <a:extLst>
                <a:ext uri="{FF2B5EF4-FFF2-40B4-BE49-F238E27FC236}">
                  <a16:creationId xmlns:a16="http://schemas.microsoft.com/office/drawing/2014/main" id="{A2EF34AA-7088-D1AB-5B0F-092EB78A495B}"/>
                </a:ext>
              </a:extLst>
            </xdr:cNvPr>
            <xdr:cNvSpPr/>
          </xdr:nvSpPr>
          <xdr:spPr>
            <a:xfrm>
              <a:off x="7371864" y="1002693"/>
              <a:ext cx="367375" cy="367374"/>
            </a:xfrm>
            <a:prstGeom prst="flowChartConnector">
              <a:avLst/>
            </a:prstGeom>
            <a:solidFill>
              <a:srgbClr val="B46D21"/>
            </a:solidFill>
            <a:ln w="12700"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ru-RU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ru-RU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55" name="TextBox 21">
              <a:extLst>
                <a:ext uri="{FF2B5EF4-FFF2-40B4-BE49-F238E27FC236}">
                  <a16:creationId xmlns:a16="http://schemas.microsoft.com/office/drawing/2014/main" id="{C4181EEB-4197-768D-94CD-C82F34FA8D29}"/>
                </a:ext>
              </a:extLst>
            </xdr:cNvPr>
            <xdr:cNvSpPr txBox="1"/>
          </xdr:nvSpPr>
          <xdr:spPr>
            <a:xfrm>
              <a:off x="7406347" y="993448"/>
              <a:ext cx="298408" cy="372166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ru-RU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lnSpc>
                  <a:spcPct val="90000"/>
                </a:lnSpc>
              </a:pPr>
              <a:r>
                <a:rPr lang="en-US" sz="1200">
                  <a:solidFill>
                    <a:schemeClr val="bg1"/>
                  </a:solidFill>
                  <a:latin typeface="DIN Pro Regular"/>
                </a:rPr>
                <a:t>+</a:t>
              </a:r>
              <a:endParaRPr lang="ru-RU" sz="1200">
                <a:solidFill>
                  <a:schemeClr val="bg1"/>
                </a:solidFill>
                <a:latin typeface="DIN Pro Regular"/>
              </a:endParaRPr>
            </a:p>
          </xdr:txBody>
        </xdr:sp>
      </xdr:grpSp>
      <xdr:sp macro="" textlink="">
        <xdr:nvSpPr>
          <xdr:cNvPr id="62" name="TextBox 16">
            <a:extLst>
              <a:ext uri="{FF2B5EF4-FFF2-40B4-BE49-F238E27FC236}">
                <a16:creationId xmlns:a16="http://schemas.microsoft.com/office/drawing/2014/main" id="{CC949E8F-6281-4264-B114-84C315AA2A83}"/>
              </a:ext>
            </a:extLst>
          </xdr:cNvPr>
          <xdr:cNvSpPr txBox="1"/>
        </xdr:nvSpPr>
        <xdr:spPr>
          <a:xfrm>
            <a:off x="15277151" y="13151050"/>
            <a:ext cx="1210626" cy="53065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400">
                <a:solidFill>
                  <a:sysClr val="windowText" lastClr="000000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  <a:t>Внешний бортик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132341</xdr:colOff>
      <xdr:row>74</xdr:row>
      <xdr:rowOff>11896</xdr:rowOff>
    </xdr:from>
    <xdr:to>
      <xdr:col>10</xdr:col>
      <xdr:colOff>1380280</xdr:colOff>
      <xdr:row>89</xdr:row>
      <xdr:rowOff>6681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F6A7ED1-B318-4FC7-A74D-F25B245F4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3147" y="15313348"/>
          <a:ext cx="4289794" cy="2790833"/>
        </a:xfrm>
        <a:prstGeom prst="rect">
          <a:avLst/>
        </a:prstGeom>
      </xdr:spPr>
    </xdr:pic>
    <xdr:clientData/>
  </xdr:twoCellAnchor>
  <xdr:twoCellAnchor editAs="absolute">
    <xdr:from>
      <xdr:col>2</xdr:col>
      <xdr:colOff>816429</xdr:colOff>
      <xdr:row>33</xdr:row>
      <xdr:rowOff>32213</xdr:rowOff>
    </xdr:from>
    <xdr:to>
      <xdr:col>5</xdr:col>
      <xdr:colOff>1578428</xdr:colOff>
      <xdr:row>46</xdr:row>
      <xdr:rowOff>9496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11FFE92-FE90-490A-9D57-E04C924ABB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08" t="23416" b="18259"/>
        <a:stretch/>
      </xdr:blipFill>
      <xdr:spPr>
        <a:xfrm>
          <a:off x="4764695" y="7621487"/>
          <a:ext cx="4679539" cy="2373896"/>
        </a:xfrm>
        <a:prstGeom prst="rect">
          <a:avLst/>
        </a:prstGeom>
      </xdr:spPr>
    </xdr:pic>
    <xdr:clientData/>
  </xdr:twoCellAnchor>
  <xdr:twoCellAnchor editAs="absolute">
    <xdr:from>
      <xdr:col>7</xdr:col>
      <xdr:colOff>55788</xdr:colOff>
      <xdr:row>3</xdr:row>
      <xdr:rowOff>74698</xdr:rowOff>
    </xdr:from>
    <xdr:to>
      <xdr:col>8</xdr:col>
      <xdr:colOff>1313994</xdr:colOff>
      <xdr:row>7</xdr:row>
      <xdr:rowOff>414930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1D557BF-B89E-44A2-A1B6-018DD9E4F7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88" t="29120" r="18899" b="14559"/>
        <a:stretch/>
      </xdr:blipFill>
      <xdr:spPr>
        <a:xfrm>
          <a:off x="9825717" y="877519"/>
          <a:ext cx="1475920" cy="1102232"/>
        </a:xfrm>
        <a:prstGeom prst="rect">
          <a:avLst/>
        </a:prstGeom>
      </xdr:spPr>
    </xdr:pic>
    <xdr:clientData/>
  </xdr:twoCellAnchor>
  <xdr:twoCellAnchor editAs="absolute">
    <xdr:from>
      <xdr:col>10</xdr:col>
      <xdr:colOff>96702</xdr:colOff>
      <xdr:row>3</xdr:row>
      <xdr:rowOff>23672</xdr:rowOff>
    </xdr:from>
    <xdr:to>
      <xdr:col>11</xdr:col>
      <xdr:colOff>108131</xdr:colOff>
      <xdr:row>7</xdr:row>
      <xdr:rowOff>335731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BA6F7B4-172B-4CED-A126-0A50CED582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84" t="29815" r="24097" b="14228"/>
        <a:stretch/>
      </xdr:blipFill>
      <xdr:spPr>
        <a:xfrm>
          <a:off x="12914631" y="826493"/>
          <a:ext cx="1426571" cy="1074059"/>
        </a:xfrm>
        <a:prstGeom prst="rect">
          <a:avLst/>
        </a:prstGeom>
      </xdr:spPr>
    </xdr:pic>
    <xdr:clientData/>
  </xdr:twoCellAnchor>
  <xdr:twoCellAnchor editAs="absolute">
    <xdr:from>
      <xdr:col>8</xdr:col>
      <xdr:colOff>1330961</xdr:colOff>
      <xdr:row>4</xdr:row>
      <xdr:rowOff>40278</xdr:rowOff>
    </xdr:from>
    <xdr:to>
      <xdr:col>10</xdr:col>
      <xdr:colOff>117567</xdr:colOff>
      <xdr:row>7</xdr:row>
      <xdr:rowOff>356599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5469AF8-7583-425F-8CF8-AB64AE9BA1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88" t="31438" r="24602" b="19530"/>
        <a:stretch/>
      </xdr:blipFill>
      <xdr:spPr>
        <a:xfrm>
          <a:off x="11318604" y="1033599"/>
          <a:ext cx="1616892" cy="887821"/>
        </a:xfrm>
        <a:prstGeom prst="rect">
          <a:avLst/>
        </a:prstGeom>
      </xdr:spPr>
    </xdr:pic>
    <xdr:clientData/>
  </xdr:twoCellAnchor>
  <xdr:twoCellAnchor editAs="absolute">
    <xdr:from>
      <xdr:col>11</xdr:col>
      <xdr:colOff>54975</xdr:colOff>
      <xdr:row>3</xdr:row>
      <xdr:rowOff>178706</xdr:rowOff>
    </xdr:from>
    <xdr:to>
      <xdr:col>12</xdr:col>
      <xdr:colOff>88356</xdr:colOff>
      <xdr:row>7</xdr:row>
      <xdr:rowOff>451848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BBF80E6-2635-44D4-8753-6B74CC366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75" t="29546" r="14208" b="12018"/>
        <a:stretch/>
      </xdr:blipFill>
      <xdr:spPr>
        <a:xfrm>
          <a:off x="14288046" y="981527"/>
          <a:ext cx="1448524" cy="1035142"/>
        </a:xfrm>
        <a:prstGeom prst="rect">
          <a:avLst/>
        </a:prstGeom>
      </xdr:spPr>
    </xdr:pic>
    <xdr:clientData/>
  </xdr:twoCellAnchor>
  <xdr:twoCellAnchor editAs="absolute">
    <xdr:from>
      <xdr:col>3</xdr:col>
      <xdr:colOff>213360</xdr:colOff>
      <xdr:row>13</xdr:row>
      <xdr:rowOff>4149</xdr:rowOff>
    </xdr:from>
    <xdr:to>
      <xdr:col>4</xdr:col>
      <xdr:colOff>853441</xdr:colOff>
      <xdr:row>17</xdr:row>
      <xdr:rowOff>176594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36B4891-0016-42E7-A294-536D41E0B3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2" t="25718" r="12335" b="19917"/>
        <a:stretch>
          <a:fillRect/>
        </a:stretch>
      </xdr:blipFill>
      <xdr:spPr>
        <a:xfrm>
          <a:off x="5397681" y="3263717"/>
          <a:ext cx="1878331" cy="995020"/>
        </a:xfrm>
        <a:prstGeom prst="rect">
          <a:avLst/>
        </a:prstGeom>
      </xdr:spPr>
    </xdr:pic>
    <xdr:clientData/>
  </xdr:twoCellAnchor>
  <xdr:twoCellAnchor editAs="absolute">
    <xdr:from>
      <xdr:col>4</xdr:col>
      <xdr:colOff>1036319</xdr:colOff>
      <xdr:row>13</xdr:row>
      <xdr:rowOff>544</xdr:rowOff>
    </xdr:from>
    <xdr:to>
      <xdr:col>6</xdr:col>
      <xdr:colOff>1180</xdr:colOff>
      <xdr:row>17</xdr:row>
      <xdr:rowOff>169334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E5D8777B-6C18-4C73-8837-9E51A19002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0" t="35252" r="27367" b="34393"/>
        <a:stretch/>
      </xdr:blipFill>
      <xdr:spPr>
        <a:xfrm>
          <a:off x="7458890" y="3266258"/>
          <a:ext cx="2094504" cy="985219"/>
        </a:xfrm>
        <a:prstGeom prst="rect">
          <a:avLst/>
        </a:prstGeom>
      </xdr:spPr>
    </xdr:pic>
    <xdr:clientData/>
  </xdr:twoCellAnchor>
  <xdr:twoCellAnchor editAs="absolute">
    <xdr:from>
      <xdr:col>12</xdr:col>
      <xdr:colOff>255659</xdr:colOff>
      <xdr:row>5</xdr:row>
      <xdr:rowOff>133348</xdr:rowOff>
    </xdr:from>
    <xdr:to>
      <xdr:col>14</xdr:col>
      <xdr:colOff>613125</xdr:colOff>
      <xdr:row>8</xdr:row>
      <xdr:rowOff>27212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DE513CD-E76A-4180-9723-5A821E6907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16019"/>
        <a:stretch>
          <a:fillRect/>
        </a:stretch>
      </xdr:blipFill>
      <xdr:spPr>
        <a:xfrm>
          <a:off x="15903873" y="1317169"/>
          <a:ext cx="2657073" cy="805543"/>
        </a:xfrm>
        <a:prstGeom prst="rect">
          <a:avLst/>
        </a:prstGeom>
      </xdr:spPr>
    </xdr:pic>
    <xdr:clientData/>
  </xdr:twoCellAnchor>
  <xdr:twoCellAnchor editAs="absolute">
    <xdr:from>
      <xdr:col>12</xdr:col>
      <xdr:colOff>349284</xdr:colOff>
      <xdr:row>19</xdr:row>
      <xdr:rowOff>67855</xdr:rowOff>
    </xdr:from>
    <xdr:to>
      <xdr:col>14</xdr:col>
      <xdr:colOff>552452</xdr:colOff>
      <xdr:row>25</xdr:row>
      <xdr:rowOff>12809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A030838-7B71-444B-AF0E-74CDE3F761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53" t="18129" r="18421" b="24795"/>
        <a:stretch/>
      </xdr:blipFill>
      <xdr:spPr>
        <a:xfrm>
          <a:off x="15997498" y="4544605"/>
          <a:ext cx="2502775" cy="1309179"/>
        </a:xfrm>
        <a:prstGeom prst="rect">
          <a:avLst/>
        </a:prstGeom>
      </xdr:spPr>
    </xdr:pic>
    <xdr:clientData/>
  </xdr:twoCellAnchor>
  <xdr:twoCellAnchor editAs="absolute">
    <xdr:from>
      <xdr:col>12</xdr:col>
      <xdr:colOff>249291</xdr:colOff>
      <xdr:row>24</xdr:row>
      <xdr:rowOff>186443</xdr:rowOff>
    </xdr:from>
    <xdr:to>
      <xdr:col>14</xdr:col>
      <xdr:colOff>711230</xdr:colOff>
      <xdr:row>29</xdr:row>
      <xdr:rowOff>184453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EBE56CC-C76B-4A61-AF0C-23A56361A9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21975"/>
        <a:stretch/>
      </xdr:blipFill>
      <xdr:spPr>
        <a:xfrm>
          <a:off x="15897505" y="5782490"/>
          <a:ext cx="2761546" cy="1236260"/>
        </a:xfrm>
        <a:prstGeom prst="rect">
          <a:avLst/>
        </a:prstGeom>
      </xdr:spPr>
    </xdr:pic>
    <xdr:clientData/>
  </xdr:twoCellAnchor>
  <xdr:twoCellAnchor editAs="absolute">
    <xdr:from>
      <xdr:col>2</xdr:col>
      <xdr:colOff>542299</xdr:colOff>
      <xdr:row>26</xdr:row>
      <xdr:rowOff>114125</xdr:rowOff>
    </xdr:from>
    <xdr:to>
      <xdr:col>3</xdr:col>
      <xdr:colOff>807649</xdr:colOff>
      <xdr:row>29</xdr:row>
      <xdr:rowOff>207894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F5C9C3AE-1D72-47DC-8763-9D930756CD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3" t="30986" r="26087" b="30436"/>
        <a:stretch/>
      </xdr:blipFill>
      <xdr:spPr>
        <a:xfrm>
          <a:off x="4490565" y="6151746"/>
          <a:ext cx="1494382" cy="877277"/>
        </a:xfrm>
        <a:prstGeom prst="rect">
          <a:avLst/>
        </a:prstGeom>
      </xdr:spPr>
    </xdr:pic>
    <xdr:clientData/>
  </xdr:twoCellAnchor>
  <xdr:twoCellAnchor editAs="absolute">
    <xdr:from>
      <xdr:col>1</xdr:col>
      <xdr:colOff>328384</xdr:colOff>
      <xdr:row>23</xdr:row>
      <xdr:rowOff>176756</xdr:rowOff>
    </xdr:from>
    <xdr:to>
      <xdr:col>2</xdr:col>
      <xdr:colOff>634708</xdr:colOff>
      <xdr:row>28</xdr:row>
      <xdr:rowOff>99730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AF7EA426-09FF-44BE-8889-457A772D07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66" t="19519" r="14227" b="14502"/>
        <a:stretch/>
      </xdr:blipFill>
      <xdr:spPr>
        <a:xfrm>
          <a:off x="3032255" y="5538409"/>
          <a:ext cx="1550719" cy="1075192"/>
        </a:xfrm>
        <a:prstGeom prst="rect">
          <a:avLst/>
        </a:prstGeom>
      </xdr:spPr>
    </xdr:pic>
    <xdr:clientData/>
  </xdr:twoCellAnchor>
  <xdr:twoCellAnchor editAs="absolute">
    <xdr:from>
      <xdr:col>0</xdr:col>
      <xdr:colOff>1835640</xdr:colOff>
      <xdr:row>85</xdr:row>
      <xdr:rowOff>176702</xdr:rowOff>
    </xdr:from>
    <xdr:to>
      <xdr:col>4</xdr:col>
      <xdr:colOff>1054194</xdr:colOff>
      <xdr:row>101</xdr:row>
      <xdr:rowOff>73447</xdr:rowOff>
    </xdr:to>
    <xdr:grpSp>
      <xdr:nvGrpSpPr>
        <xdr:cNvPr id="15" name="Группа 14">
          <a:extLst>
            <a:ext uri="{FF2B5EF4-FFF2-40B4-BE49-F238E27FC236}">
              <a16:creationId xmlns:a16="http://schemas.microsoft.com/office/drawing/2014/main" id="{8C0B54C4-5A1F-4344-8FA1-D677163C23B7}"/>
            </a:ext>
          </a:extLst>
        </xdr:cNvPr>
        <xdr:cNvGrpSpPr/>
      </xdr:nvGrpSpPr>
      <xdr:grpSpPr>
        <a:xfrm>
          <a:off x="1835640" y="17536783"/>
          <a:ext cx="5640248" cy="2923237"/>
          <a:chOff x="10264347" y="14508891"/>
          <a:chExt cx="4553464" cy="2244354"/>
        </a:xfrm>
      </xdr:grpSpPr>
      <xdr:pic>
        <xdr:nvPicPr>
          <xdr:cNvPr id="16" name="Рисунок 15">
            <a:extLst>
              <a:ext uri="{FF2B5EF4-FFF2-40B4-BE49-F238E27FC236}">
                <a16:creationId xmlns:a16="http://schemas.microsoft.com/office/drawing/2014/main" id="{28D13DC5-604E-AD5B-B18B-4FC1D93D9CF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/>
          <a:srcRect b="66185"/>
          <a:stretch>
            <a:fillRect/>
          </a:stretch>
        </xdr:blipFill>
        <xdr:spPr>
          <a:xfrm>
            <a:off x="10266405" y="14508891"/>
            <a:ext cx="4551406" cy="926758"/>
          </a:xfrm>
          <a:prstGeom prst="rect">
            <a:avLst/>
          </a:prstGeom>
        </xdr:spPr>
      </xdr:pic>
      <xdr:pic>
        <xdr:nvPicPr>
          <xdr:cNvPr id="17" name="Рисунок 16">
            <a:extLst>
              <a:ext uri="{FF2B5EF4-FFF2-40B4-BE49-F238E27FC236}">
                <a16:creationId xmlns:a16="http://schemas.microsoft.com/office/drawing/2014/main" id="{6D49741B-2E64-3DE4-8DA0-7BA125B2422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/>
          <a:srcRect t="50046"/>
          <a:stretch>
            <a:fillRect/>
          </a:stretch>
        </xdr:blipFill>
        <xdr:spPr>
          <a:xfrm>
            <a:off x="10264347" y="15384162"/>
            <a:ext cx="4551406" cy="1369083"/>
          </a:xfrm>
          <a:prstGeom prst="rect">
            <a:avLst/>
          </a:prstGeom>
        </xdr:spPr>
      </xdr:pic>
    </xdr:grpSp>
    <xdr:clientData/>
  </xdr:twoCellAnchor>
  <xdr:twoCellAnchor editAs="absolute">
    <xdr:from>
      <xdr:col>0</xdr:col>
      <xdr:colOff>1881022</xdr:colOff>
      <xdr:row>65</xdr:row>
      <xdr:rowOff>86855</xdr:rowOff>
    </xdr:from>
    <xdr:to>
      <xdr:col>4</xdr:col>
      <xdr:colOff>995396</xdr:colOff>
      <xdr:row>83</xdr:row>
      <xdr:rowOff>5738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F0E33CD6-681B-41DD-8009-E6233D5A4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81022" y="13744476"/>
          <a:ext cx="5536068" cy="3221907"/>
        </a:xfrm>
        <a:prstGeom prst="rect">
          <a:avLst/>
        </a:prstGeom>
      </xdr:spPr>
    </xdr:pic>
    <xdr:clientData/>
  </xdr:twoCellAnchor>
  <xdr:twoCellAnchor editAs="absolute">
    <xdr:from>
      <xdr:col>11</xdr:col>
      <xdr:colOff>39997</xdr:colOff>
      <xdr:row>74</xdr:row>
      <xdr:rowOff>25888</xdr:rowOff>
    </xdr:from>
    <xdr:to>
      <xdr:col>14</xdr:col>
      <xdr:colOff>649092</xdr:colOff>
      <xdr:row>81</xdr:row>
      <xdr:rowOff>158459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7CE04ED7-29FF-4676-AB9A-8B24018406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16367" b="9949"/>
        <a:stretch/>
      </xdr:blipFill>
      <xdr:spPr>
        <a:xfrm>
          <a:off x="14266045" y="15327340"/>
          <a:ext cx="4326918" cy="1423054"/>
        </a:xfrm>
        <a:prstGeom prst="rect">
          <a:avLst/>
        </a:prstGeom>
      </xdr:spPr>
    </xdr:pic>
    <xdr:clientData/>
  </xdr:twoCellAnchor>
  <xdr:twoCellAnchor editAs="absolute">
    <xdr:from>
      <xdr:col>0</xdr:col>
      <xdr:colOff>74876</xdr:colOff>
      <xdr:row>33</xdr:row>
      <xdr:rowOff>49239</xdr:rowOff>
    </xdr:from>
    <xdr:to>
      <xdr:col>2</xdr:col>
      <xdr:colOff>642989</xdr:colOff>
      <xdr:row>43</xdr:row>
      <xdr:rowOff>72864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C56693AB-45B2-49C9-A2E6-7AFE8A052F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4" t="22812" b="28036"/>
        <a:stretch/>
      </xdr:blipFill>
      <xdr:spPr>
        <a:xfrm>
          <a:off x="74876" y="7638513"/>
          <a:ext cx="4516379" cy="1867174"/>
        </a:xfrm>
        <a:prstGeom prst="rect">
          <a:avLst/>
        </a:prstGeom>
      </xdr:spPr>
    </xdr:pic>
    <xdr:clientData/>
  </xdr:twoCellAnchor>
  <xdr:twoCellAnchor editAs="absolute">
    <xdr:from>
      <xdr:col>12</xdr:col>
      <xdr:colOff>302077</xdr:colOff>
      <xdr:row>10</xdr:row>
      <xdr:rowOff>146954</xdr:rowOff>
    </xdr:from>
    <xdr:to>
      <xdr:col>14</xdr:col>
      <xdr:colOff>696525</xdr:colOff>
      <xdr:row>16</xdr:row>
      <xdr:rowOff>27211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96A7A1B9-B5C2-4361-935B-0D2FF717D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950291" y="2813954"/>
          <a:ext cx="2694055" cy="1104900"/>
        </a:xfrm>
        <a:prstGeom prst="rect">
          <a:avLst/>
        </a:prstGeom>
      </xdr:spPr>
    </xdr:pic>
    <xdr:clientData/>
  </xdr:twoCellAnchor>
  <xdr:twoCellAnchor editAs="absolute">
    <xdr:from>
      <xdr:col>0</xdr:col>
      <xdr:colOff>1018919</xdr:colOff>
      <xdr:row>48</xdr:row>
      <xdr:rowOff>159423</xdr:rowOff>
    </xdr:from>
    <xdr:to>
      <xdr:col>5</xdr:col>
      <xdr:colOff>797379</xdr:colOff>
      <xdr:row>63</xdr:row>
      <xdr:rowOff>32222</xdr:rowOff>
    </xdr:to>
    <xdr:grpSp>
      <xdr:nvGrpSpPr>
        <xdr:cNvPr id="22" name="Группа 21">
          <a:extLst>
            <a:ext uri="{FF2B5EF4-FFF2-40B4-BE49-F238E27FC236}">
              <a16:creationId xmlns:a16="http://schemas.microsoft.com/office/drawing/2014/main" id="{E71B84B8-28CB-46D8-B20D-DE7341FDB008}"/>
            </a:ext>
          </a:extLst>
        </xdr:cNvPr>
        <xdr:cNvGrpSpPr/>
      </xdr:nvGrpSpPr>
      <xdr:grpSpPr>
        <a:xfrm>
          <a:off x="1018919" y="10514020"/>
          <a:ext cx="7644266" cy="2807113"/>
          <a:chOff x="1440740" y="13073741"/>
          <a:chExt cx="7877431" cy="2754089"/>
        </a:xfrm>
      </xdr:grpSpPr>
      <xdr:grpSp>
        <xdr:nvGrpSpPr>
          <xdr:cNvPr id="23" name="Группа 22">
            <a:extLst>
              <a:ext uri="{FF2B5EF4-FFF2-40B4-BE49-F238E27FC236}">
                <a16:creationId xmlns:a16="http://schemas.microsoft.com/office/drawing/2014/main" id="{0AD125C3-5D59-CDC0-4FC3-F144016522ED}"/>
              </a:ext>
            </a:extLst>
          </xdr:cNvPr>
          <xdr:cNvGrpSpPr/>
        </xdr:nvGrpSpPr>
        <xdr:grpSpPr>
          <a:xfrm>
            <a:off x="1440740" y="13073741"/>
            <a:ext cx="6873592" cy="2754089"/>
            <a:chOff x="1429855" y="13356770"/>
            <a:chExt cx="6873592" cy="2754089"/>
          </a:xfrm>
        </xdr:grpSpPr>
        <xdr:pic>
          <xdr:nvPicPr>
            <xdr:cNvPr id="25" name="Рисунок 24">
              <a:extLst>
                <a:ext uri="{FF2B5EF4-FFF2-40B4-BE49-F238E27FC236}">
                  <a16:creationId xmlns:a16="http://schemas.microsoft.com/office/drawing/2014/main" id="{7B0AA035-6398-3EDA-AFDF-F257B0BA151A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9"/>
            <a:srcRect t="4954" b="69481"/>
            <a:stretch>
              <a:fillRect/>
            </a:stretch>
          </xdr:blipFill>
          <xdr:spPr>
            <a:xfrm>
              <a:off x="1429855" y="13356770"/>
              <a:ext cx="6873592" cy="1153887"/>
            </a:xfrm>
            <a:prstGeom prst="rect">
              <a:avLst/>
            </a:prstGeom>
          </xdr:spPr>
        </xdr:pic>
        <xdr:pic>
          <xdr:nvPicPr>
            <xdr:cNvPr id="26" name="Рисунок 25">
              <a:extLst>
                <a:ext uri="{FF2B5EF4-FFF2-40B4-BE49-F238E27FC236}">
                  <a16:creationId xmlns:a16="http://schemas.microsoft.com/office/drawing/2014/main" id="{2242D019-F23C-4E99-A8DA-9A5F3BD47E5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9"/>
            <a:srcRect t="62354" b="1712"/>
            <a:stretch>
              <a:fillRect/>
            </a:stretch>
          </xdr:blipFill>
          <xdr:spPr>
            <a:xfrm>
              <a:off x="1429855" y="14488887"/>
              <a:ext cx="6873592" cy="1621972"/>
            </a:xfrm>
            <a:prstGeom prst="rect">
              <a:avLst/>
            </a:prstGeom>
          </xdr:spPr>
        </xdr:pic>
      </xdr:grpSp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C7C9E612-8754-2870-230C-858597AC48D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9"/>
          <a:srcRect l="78552" t="32207" r="2919" b="36199"/>
          <a:stretch>
            <a:fillRect/>
          </a:stretch>
        </xdr:blipFill>
        <xdr:spPr>
          <a:xfrm>
            <a:off x="8044543" y="14216741"/>
            <a:ext cx="1273628" cy="1426029"/>
          </a:xfrm>
          <a:prstGeom prst="rect">
            <a:avLst/>
          </a:prstGeom>
        </xdr:spPr>
      </xdr:pic>
    </xdr:grpSp>
    <xdr:clientData/>
  </xdr:twoCellAnchor>
  <xdr:twoCellAnchor editAs="absolute">
    <xdr:from>
      <xdr:col>16</xdr:col>
      <xdr:colOff>590545</xdr:colOff>
      <xdr:row>47</xdr:row>
      <xdr:rowOff>122286</xdr:rowOff>
    </xdr:from>
    <xdr:to>
      <xdr:col>22</xdr:col>
      <xdr:colOff>394607</xdr:colOff>
      <xdr:row>75</xdr:row>
      <xdr:rowOff>145293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95EB2D3D-E00D-4D62-AE8D-B6B6F4AFFA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l="921" t="4462"/>
        <a:stretch>
          <a:fillRect/>
        </a:stretch>
      </xdr:blipFill>
      <xdr:spPr>
        <a:xfrm>
          <a:off x="19410101" y="10292528"/>
          <a:ext cx="8007853" cy="5338571"/>
        </a:xfrm>
        <a:prstGeom prst="rect">
          <a:avLst/>
        </a:prstGeom>
      </xdr:spPr>
    </xdr:pic>
    <xdr:clientData/>
  </xdr:twoCellAnchor>
  <xdr:twoCellAnchor>
    <xdr:from>
      <xdr:col>19</xdr:col>
      <xdr:colOff>55788</xdr:colOff>
      <xdr:row>38</xdr:row>
      <xdr:rowOff>76205</xdr:rowOff>
    </xdr:from>
    <xdr:to>
      <xdr:col>22</xdr:col>
      <xdr:colOff>1068854</xdr:colOff>
      <xdr:row>44</xdr:row>
      <xdr:rowOff>76202</xdr:rowOff>
    </xdr:to>
    <xdr:grpSp>
      <xdr:nvGrpSpPr>
        <xdr:cNvPr id="28" name="Группа 27">
          <a:extLst>
            <a:ext uri="{FF2B5EF4-FFF2-40B4-BE49-F238E27FC236}">
              <a16:creationId xmlns:a16="http://schemas.microsoft.com/office/drawing/2014/main" id="{CC055AC9-DF1A-4A79-B1E7-2CD48A9CC28D}"/>
            </a:ext>
          </a:extLst>
        </xdr:cNvPr>
        <xdr:cNvGrpSpPr/>
      </xdr:nvGrpSpPr>
      <xdr:grpSpPr>
        <a:xfrm>
          <a:off x="22977240" y="8587253"/>
          <a:ext cx="5114961" cy="1106126"/>
          <a:chOff x="16067315" y="11462659"/>
          <a:chExt cx="2855313" cy="655670"/>
        </a:xfrm>
      </xdr:grpSpPr>
      <xdr:pic>
        <xdr:nvPicPr>
          <xdr:cNvPr id="29" name="Рисунок 28">
            <a:extLst>
              <a:ext uri="{FF2B5EF4-FFF2-40B4-BE49-F238E27FC236}">
                <a16:creationId xmlns:a16="http://schemas.microsoft.com/office/drawing/2014/main" id="{C4D150A4-7697-F033-FBB8-803BEAC828D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595" t="16803" r="14228" b="23459"/>
          <a:stretch>
            <a:fillRect/>
          </a:stretch>
        </xdr:blipFill>
        <xdr:spPr>
          <a:xfrm>
            <a:off x="17553329" y="11462659"/>
            <a:ext cx="1369299" cy="655670"/>
          </a:xfrm>
          <a:prstGeom prst="rect">
            <a:avLst/>
          </a:prstGeom>
        </xdr:spPr>
      </xdr:pic>
      <xdr:pic>
        <xdr:nvPicPr>
          <xdr:cNvPr id="30" name="Рисунок 29">
            <a:extLst>
              <a:ext uri="{FF2B5EF4-FFF2-40B4-BE49-F238E27FC236}">
                <a16:creationId xmlns:a16="http://schemas.microsoft.com/office/drawing/2014/main" id="{6463876B-9B41-1055-CBDE-3F538219093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3453" b="19218"/>
          <a:stretch>
            <a:fillRect/>
          </a:stretch>
        </xdr:blipFill>
        <xdr:spPr>
          <a:xfrm>
            <a:off x="16067315" y="11470196"/>
            <a:ext cx="1462070" cy="647627"/>
          </a:xfrm>
          <a:prstGeom prst="rect">
            <a:avLst/>
          </a:prstGeom>
        </xdr:spPr>
      </xdr:pic>
    </xdr:grpSp>
    <xdr:clientData/>
  </xdr:twoCellAnchor>
  <xdr:twoCellAnchor editAs="absolute">
    <xdr:from>
      <xdr:col>15</xdr:col>
      <xdr:colOff>97184</xdr:colOff>
      <xdr:row>78</xdr:row>
      <xdr:rowOff>13958</xdr:rowOff>
    </xdr:from>
    <xdr:to>
      <xdr:col>19</xdr:col>
      <xdr:colOff>681718</xdr:colOff>
      <xdr:row>86</xdr:row>
      <xdr:rowOff>76815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8D4E947C-D856-4F34-BA00-EC8929EF12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l="1815" t="14367" r="1" b="3779"/>
        <a:stretch>
          <a:fillRect/>
        </a:stretch>
      </xdr:blipFill>
      <xdr:spPr>
        <a:xfrm>
          <a:off x="18778474" y="16052829"/>
          <a:ext cx="4824696" cy="1568421"/>
        </a:xfrm>
        <a:prstGeom prst="rect">
          <a:avLst/>
        </a:prstGeom>
      </xdr:spPr>
    </xdr:pic>
    <xdr:clientData/>
  </xdr:twoCellAnchor>
  <xdr:twoCellAnchor editAs="absolute">
    <xdr:from>
      <xdr:col>19</xdr:col>
      <xdr:colOff>1213669</xdr:colOff>
      <xdr:row>77</xdr:row>
      <xdr:rowOff>70917</xdr:rowOff>
    </xdr:from>
    <xdr:to>
      <xdr:col>22</xdr:col>
      <xdr:colOff>518923</xdr:colOff>
      <xdr:row>87</xdr:row>
      <xdr:rowOff>22821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6C0DAD7F-82FF-429F-BA6D-21CC945341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1643" r="9035"/>
        <a:stretch>
          <a:fillRect/>
        </a:stretch>
      </xdr:blipFill>
      <xdr:spPr>
        <a:xfrm>
          <a:off x="24135121" y="15925433"/>
          <a:ext cx="3407149" cy="1826178"/>
        </a:xfrm>
        <a:prstGeom prst="rect">
          <a:avLst/>
        </a:prstGeom>
      </xdr:spPr>
    </xdr:pic>
    <xdr:clientData/>
  </xdr:twoCellAnchor>
  <xdr:twoCellAnchor editAs="absolute">
    <xdr:from>
      <xdr:col>19</xdr:col>
      <xdr:colOff>261169</xdr:colOff>
      <xdr:row>87</xdr:row>
      <xdr:rowOff>65318</xdr:rowOff>
    </xdr:from>
    <xdr:to>
      <xdr:col>22</xdr:col>
      <xdr:colOff>1207449</xdr:colOff>
      <xdr:row>95</xdr:row>
      <xdr:rowOff>101307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36F9B2C0-FC05-4074-A078-1F3B5749D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3182621" y="17794108"/>
          <a:ext cx="5048175" cy="1572280"/>
        </a:xfrm>
        <a:prstGeom prst="rect">
          <a:avLst/>
        </a:prstGeom>
      </xdr:spPr>
    </xdr:pic>
    <xdr:clientData/>
  </xdr:twoCellAnchor>
  <xdr:twoCellAnchor editAs="oneCell">
    <xdr:from>
      <xdr:col>15</xdr:col>
      <xdr:colOff>122464</xdr:colOff>
      <xdr:row>4</xdr:row>
      <xdr:rowOff>134375</xdr:rowOff>
    </xdr:from>
    <xdr:to>
      <xdr:col>17</xdr:col>
      <xdr:colOff>948</xdr:colOff>
      <xdr:row>7</xdr:row>
      <xdr:rowOff>372499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593ADD3F-AEDC-4759-B6A8-BAB8733FA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8818678" y="1127696"/>
          <a:ext cx="1375270" cy="809624"/>
        </a:xfrm>
        <a:prstGeom prst="rect">
          <a:avLst/>
        </a:prstGeom>
      </xdr:spPr>
    </xdr:pic>
    <xdr:clientData/>
  </xdr:twoCellAnchor>
  <xdr:twoCellAnchor editAs="oneCell">
    <xdr:from>
      <xdr:col>17</xdr:col>
      <xdr:colOff>114852</xdr:colOff>
      <xdr:row>3</xdr:row>
      <xdr:rowOff>115665</xdr:rowOff>
    </xdr:from>
    <xdr:to>
      <xdr:col>17</xdr:col>
      <xdr:colOff>1281664</xdr:colOff>
      <xdr:row>7</xdr:row>
      <xdr:rowOff>242237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9D77550-F004-4D55-9B17-355CAB0E0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307852" y="918486"/>
          <a:ext cx="1166812" cy="888572"/>
        </a:xfrm>
        <a:prstGeom prst="rect">
          <a:avLst/>
        </a:prstGeom>
      </xdr:spPr>
    </xdr:pic>
    <xdr:clientData/>
  </xdr:twoCellAnchor>
  <xdr:twoCellAnchor editAs="oneCell">
    <xdr:from>
      <xdr:col>19</xdr:col>
      <xdr:colOff>148545</xdr:colOff>
      <xdr:row>4</xdr:row>
      <xdr:rowOff>81648</xdr:rowOff>
    </xdr:from>
    <xdr:to>
      <xdr:col>20</xdr:col>
      <xdr:colOff>48880</xdr:colOff>
      <xdr:row>7</xdr:row>
      <xdr:rowOff>153084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F285BEA9-68C6-436A-BF06-8D9AD969E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62974" y="1074969"/>
          <a:ext cx="1261049" cy="642936"/>
        </a:xfrm>
        <a:prstGeom prst="rect">
          <a:avLst/>
        </a:prstGeom>
      </xdr:spPr>
    </xdr:pic>
    <xdr:clientData/>
  </xdr:twoCellAnchor>
  <xdr:twoCellAnchor editAs="oneCell">
    <xdr:from>
      <xdr:col>18</xdr:col>
      <xdr:colOff>31507</xdr:colOff>
      <xdr:row>4</xdr:row>
      <xdr:rowOff>30619</xdr:rowOff>
    </xdr:from>
    <xdr:to>
      <xdr:col>19</xdr:col>
      <xdr:colOff>13415</xdr:colOff>
      <xdr:row>7</xdr:row>
      <xdr:rowOff>154902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2AD959F7-ACA9-4F0A-B76B-6D6829EC8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1585221" y="1023940"/>
          <a:ext cx="1342623" cy="695783"/>
        </a:xfrm>
        <a:prstGeom prst="rect">
          <a:avLst/>
        </a:prstGeom>
      </xdr:spPr>
    </xdr:pic>
    <xdr:clientData/>
  </xdr:twoCellAnchor>
  <xdr:twoCellAnchor editAs="oneCell">
    <xdr:from>
      <xdr:col>18</xdr:col>
      <xdr:colOff>212068</xdr:colOff>
      <xdr:row>23</xdr:row>
      <xdr:rowOff>13608</xdr:rowOff>
    </xdr:from>
    <xdr:to>
      <xdr:col>20</xdr:col>
      <xdr:colOff>533937</xdr:colOff>
      <xdr:row>29</xdr:row>
      <xdr:rowOff>95249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5896BF83-4FE5-4DD6-9635-3A971CDF7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765782" y="5361215"/>
          <a:ext cx="3043298" cy="1537605"/>
        </a:xfrm>
        <a:prstGeom prst="rect">
          <a:avLst/>
        </a:prstGeom>
      </xdr:spPr>
    </xdr:pic>
    <xdr:clientData/>
  </xdr:twoCellAnchor>
  <xdr:twoCellAnchor editAs="oneCell">
    <xdr:from>
      <xdr:col>20</xdr:col>
      <xdr:colOff>812223</xdr:colOff>
      <xdr:row>19</xdr:row>
      <xdr:rowOff>204107</xdr:rowOff>
    </xdr:from>
    <xdr:to>
      <xdr:col>22</xdr:col>
      <xdr:colOff>538260</xdr:colOff>
      <xdr:row>24</xdr:row>
      <xdr:rowOff>203202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838B2EC2-4576-46AE-AFC2-7DC25E3664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t="11242" b="6319"/>
        <a:stretch>
          <a:fillRect/>
        </a:stretch>
      </xdr:blipFill>
      <xdr:spPr>
        <a:xfrm>
          <a:off x="25087366" y="4680857"/>
          <a:ext cx="2447465" cy="1118392"/>
        </a:xfrm>
        <a:prstGeom prst="rect">
          <a:avLst/>
        </a:prstGeom>
      </xdr:spPr>
    </xdr:pic>
    <xdr:clientData/>
  </xdr:twoCellAnchor>
  <xdr:twoCellAnchor editAs="oneCell">
    <xdr:from>
      <xdr:col>20</xdr:col>
      <xdr:colOff>836031</xdr:colOff>
      <xdr:row>25</xdr:row>
      <xdr:rowOff>56804</xdr:rowOff>
    </xdr:from>
    <xdr:to>
      <xdr:col>22</xdr:col>
      <xdr:colOff>531569</xdr:colOff>
      <xdr:row>29</xdr:row>
      <xdr:rowOff>153570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AB501387-7915-497E-9C8C-E25C089C45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t="7956"/>
        <a:stretch>
          <a:fillRect/>
        </a:stretch>
      </xdr:blipFill>
      <xdr:spPr>
        <a:xfrm>
          <a:off x="25111174" y="5867054"/>
          <a:ext cx="2416966" cy="1090088"/>
        </a:xfrm>
        <a:prstGeom prst="rect">
          <a:avLst/>
        </a:prstGeom>
      </xdr:spPr>
    </xdr:pic>
    <xdr:clientData/>
  </xdr:twoCellAnchor>
  <xdr:twoCellAnchor>
    <xdr:from>
      <xdr:col>20</xdr:col>
      <xdr:colOff>489266</xdr:colOff>
      <xdr:row>1</xdr:row>
      <xdr:rowOff>72976</xdr:rowOff>
    </xdr:from>
    <xdr:to>
      <xdr:col>22</xdr:col>
      <xdr:colOff>1054771</xdr:colOff>
      <xdr:row>19</xdr:row>
      <xdr:rowOff>66581</xdr:rowOff>
    </xdr:to>
    <xdr:grpSp>
      <xdr:nvGrpSpPr>
        <xdr:cNvPr id="79" name="Группа 78">
          <a:extLst>
            <a:ext uri="{FF2B5EF4-FFF2-40B4-BE49-F238E27FC236}">
              <a16:creationId xmlns:a16="http://schemas.microsoft.com/office/drawing/2014/main" id="{C2A36FFC-D8CB-48BB-9938-19493B541F31}"/>
            </a:ext>
          </a:extLst>
        </xdr:cNvPr>
        <xdr:cNvGrpSpPr/>
      </xdr:nvGrpSpPr>
      <xdr:grpSpPr>
        <a:xfrm>
          <a:off x="24778016" y="441686"/>
          <a:ext cx="3300102" cy="4095500"/>
          <a:chOff x="14007779" y="10705201"/>
          <a:chExt cx="2518097" cy="3143249"/>
        </a:xfrm>
      </xdr:grpSpPr>
      <xdr:pic>
        <xdr:nvPicPr>
          <xdr:cNvPr id="80" name="Рисунок 79">
            <a:extLst>
              <a:ext uri="{FF2B5EF4-FFF2-40B4-BE49-F238E27FC236}">
                <a16:creationId xmlns:a16="http://schemas.microsoft.com/office/drawing/2014/main" id="{820D1AA6-869B-2CA2-88DB-9D95A6674E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007779" y="10705201"/>
            <a:ext cx="2514599" cy="3143249"/>
          </a:xfrm>
          <a:prstGeom prst="rect">
            <a:avLst/>
          </a:prstGeom>
        </xdr:spPr>
      </xdr:pic>
      <xdr:cxnSp macro="">
        <xdr:nvCxnSpPr>
          <xdr:cNvPr id="81" name="Прямая соединительная линия 80">
            <a:extLst>
              <a:ext uri="{FF2B5EF4-FFF2-40B4-BE49-F238E27FC236}">
                <a16:creationId xmlns:a16="http://schemas.microsoft.com/office/drawing/2014/main" id="{0AC9EB07-AAE0-C9A5-23E3-C9E7B696A400}"/>
              </a:ext>
            </a:extLst>
          </xdr:cNvPr>
          <xdr:cNvCxnSpPr>
            <a:cxnSpLocks/>
          </xdr:cNvCxnSpPr>
        </xdr:nvCxnSpPr>
        <xdr:spPr>
          <a:xfrm>
            <a:off x="15057562" y="12100303"/>
            <a:ext cx="694407" cy="258384"/>
          </a:xfrm>
          <a:prstGeom prst="line">
            <a:avLst/>
          </a:prstGeom>
          <a:ln>
            <a:solidFill>
              <a:srgbClr val="B46D20"/>
            </a:solidFill>
            <a:headEnd type="none" w="med" len="med"/>
            <a:tailEnd type="oval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82" name="Группа 81">
            <a:extLst>
              <a:ext uri="{FF2B5EF4-FFF2-40B4-BE49-F238E27FC236}">
                <a16:creationId xmlns:a16="http://schemas.microsoft.com/office/drawing/2014/main" id="{0CCB721D-8F01-F9B7-24D5-676691638B1E}"/>
              </a:ext>
            </a:extLst>
          </xdr:cNvPr>
          <xdr:cNvGrpSpPr/>
        </xdr:nvGrpSpPr>
        <xdr:grpSpPr>
          <a:xfrm>
            <a:off x="14929961" y="11971037"/>
            <a:ext cx="255203" cy="261625"/>
            <a:chOff x="7371864" y="993448"/>
            <a:chExt cx="367375" cy="376619"/>
          </a:xfrm>
        </xdr:grpSpPr>
        <xdr:sp macro="" textlink="">
          <xdr:nvSpPr>
            <xdr:cNvPr id="89" name="Блок-схема: узел 88">
              <a:extLst>
                <a:ext uri="{FF2B5EF4-FFF2-40B4-BE49-F238E27FC236}">
                  <a16:creationId xmlns:a16="http://schemas.microsoft.com/office/drawing/2014/main" id="{EC418942-D825-A44C-7125-325719905973}"/>
                </a:ext>
              </a:extLst>
            </xdr:cNvPr>
            <xdr:cNvSpPr/>
          </xdr:nvSpPr>
          <xdr:spPr>
            <a:xfrm>
              <a:off x="7371864" y="1002693"/>
              <a:ext cx="367375" cy="367374"/>
            </a:xfrm>
            <a:prstGeom prst="flowChartConnector">
              <a:avLst/>
            </a:prstGeom>
            <a:solidFill>
              <a:srgbClr val="B46D21"/>
            </a:solidFill>
            <a:ln w="12700"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ru-RU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ru-RU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90" name="TextBox 27">
              <a:extLst>
                <a:ext uri="{FF2B5EF4-FFF2-40B4-BE49-F238E27FC236}">
                  <a16:creationId xmlns:a16="http://schemas.microsoft.com/office/drawing/2014/main" id="{A9A6E488-7C77-7E0C-B02C-927EB4E521ED}"/>
                </a:ext>
              </a:extLst>
            </xdr:cNvPr>
            <xdr:cNvSpPr txBox="1"/>
          </xdr:nvSpPr>
          <xdr:spPr>
            <a:xfrm>
              <a:off x="7406347" y="993448"/>
              <a:ext cx="298408" cy="372166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ru-RU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lnSpc>
                  <a:spcPct val="90000"/>
                </a:lnSpc>
              </a:pPr>
              <a:r>
                <a:rPr lang="en-US" sz="1200">
                  <a:solidFill>
                    <a:schemeClr val="bg1"/>
                  </a:solidFill>
                  <a:latin typeface="DIN Pro Regular"/>
                </a:rPr>
                <a:t>+</a:t>
              </a:r>
              <a:endParaRPr lang="ru-RU" sz="1200">
                <a:solidFill>
                  <a:schemeClr val="bg1"/>
                </a:solidFill>
                <a:latin typeface="DIN Pro Regular"/>
              </a:endParaRPr>
            </a:p>
          </xdr:txBody>
        </xdr:sp>
      </xdr:grpSp>
      <xdr:sp macro="" textlink="">
        <xdr:nvSpPr>
          <xdr:cNvPr id="83" name="TextBox 16">
            <a:extLst>
              <a:ext uri="{FF2B5EF4-FFF2-40B4-BE49-F238E27FC236}">
                <a16:creationId xmlns:a16="http://schemas.microsoft.com/office/drawing/2014/main" id="{7DD220D0-F16E-FF5D-DA28-7C42EA3DEE95}"/>
              </a:ext>
            </a:extLst>
          </xdr:cNvPr>
          <xdr:cNvSpPr txBox="1"/>
        </xdr:nvSpPr>
        <xdr:spPr>
          <a:xfrm>
            <a:off x="15315250" y="12391433"/>
            <a:ext cx="1210626" cy="53065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400">
                <a:solidFill>
                  <a:sysClr val="windowText" lastClr="000000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  <a:t>Бортик-разделитель</a:t>
            </a:r>
          </a:p>
        </xdr:txBody>
      </xdr:sp>
      <xdr:cxnSp macro="">
        <xdr:nvCxnSpPr>
          <xdr:cNvPr id="84" name="Прямая соединительная линия 83">
            <a:extLst>
              <a:ext uri="{FF2B5EF4-FFF2-40B4-BE49-F238E27FC236}">
                <a16:creationId xmlns:a16="http://schemas.microsoft.com/office/drawing/2014/main" id="{F12D69C2-3865-BD7E-6F7A-345351F67FC7}"/>
              </a:ext>
            </a:extLst>
          </xdr:cNvPr>
          <xdr:cNvCxnSpPr>
            <a:cxnSpLocks/>
          </xdr:cNvCxnSpPr>
        </xdr:nvCxnSpPr>
        <xdr:spPr>
          <a:xfrm>
            <a:off x="14155926" y="12593172"/>
            <a:ext cx="1084074" cy="598953"/>
          </a:xfrm>
          <a:prstGeom prst="line">
            <a:avLst/>
          </a:prstGeom>
          <a:ln>
            <a:solidFill>
              <a:srgbClr val="B46D20"/>
            </a:solidFill>
            <a:headEnd type="none" w="med" len="med"/>
            <a:tailEnd type="oval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85" name="Группа 84">
            <a:extLst>
              <a:ext uri="{FF2B5EF4-FFF2-40B4-BE49-F238E27FC236}">
                <a16:creationId xmlns:a16="http://schemas.microsoft.com/office/drawing/2014/main" id="{89779C5D-B8A2-9853-77F3-6AEF78DDDD1B}"/>
              </a:ext>
            </a:extLst>
          </xdr:cNvPr>
          <xdr:cNvGrpSpPr/>
        </xdr:nvGrpSpPr>
        <xdr:grpSpPr>
          <a:xfrm>
            <a:off x="14028325" y="12463906"/>
            <a:ext cx="255203" cy="261625"/>
            <a:chOff x="7371864" y="993448"/>
            <a:chExt cx="367375" cy="376619"/>
          </a:xfrm>
        </xdr:grpSpPr>
        <xdr:sp macro="" textlink="">
          <xdr:nvSpPr>
            <xdr:cNvPr id="87" name="Блок-схема: узел 86">
              <a:extLst>
                <a:ext uri="{FF2B5EF4-FFF2-40B4-BE49-F238E27FC236}">
                  <a16:creationId xmlns:a16="http://schemas.microsoft.com/office/drawing/2014/main" id="{9A3CAAA9-F9FF-3200-3C5B-A20726E823BF}"/>
                </a:ext>
              </a:extLst>
            </xdr:cNvPr>
            <xdr:cNvSpPr/>
          </xdr:nvSpPr>
          <xdr:spPr>
            <a:xfrm>
              <a:off x="7371864" y="1002693"/>
              <a:ext cx="367375" cy="367374"/>
            </a:xfrm>
            <a:prstGeom prst="flowChartConnector">
              <a:avLst/>
            </a:prstGeom>
            <a:solidFill>
              <a:srgbClr val="B46D21"/>
            </a:solidFill>
            <a:ln w="12700"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ru-RU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ru-RU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88" name="TextBox 21">
              <a:extLst>
                <a:ext uri="{FF2B5EF4-FFF2-40B4-BE49-F238E27FC236}">
                  <a16:creationId xmlns:a16="http://schemas.microsoft.com/office/drawing/2014/main" id="{F68E7617-9009-9EFF-E9ED-64BCC2D994FF}"/>
                </a:ext>
              </a:extLst>
            </xdr:cNvPr>
            <xdr:cNvSpPr txBox="1"/>
          </xdr:nvSpPr>
          <xdr:spPr>
            <a:xfrm>
              <a:off x="7406347" y="993448"/>
              <a:ext cx="298408" cy="372166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ru-RU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lnSpc>
                  <a:spcPct val="90000"/>
                </a:lnSpc>
              </a:pPr>
              <a:r>
                <a:rPr lang="en-US" sz="1200">
                  <a:solidFill>
                    <a:schemeClr val="bg1"/>
                  </a:solidFill>
                  <a:latin typeface="DIN Pro Regular"/>
                </a:rPr>
                <a:t>+</a:t>
              </a:r>
              <a:endParaRPr lang="ru-RU" sz="1200">
                <a:solidFill>
                  <a:schemeClr val="bg1"/>
                </a:solidFill>
                <a:latin typeface="DIN Pro Regular"/>
              </a:endParaRPr>
            </a:p>
          </xdr:txBody>
        </xdr:sp>
      </xdr:grpSp>
      <xdr:sp macro="" textlink="">
        <xdr:nvSpPr>
          <xdr:cNvPr id="86" name="TextBox 16">
            <a:extLst>
              <a:ext uri="{FF2B5EF4-FFF2-40B4-BE49-F238E27FC236}">
                <a16:creationId xmlns:a16="http://schemas.microsoft.com/office/drawing/2014/main" id="{1D8A3E1B-0430-B034-E449-DF85A312B148}"/>
              </a:ext>
            </a:extLst>
          </xdr:cNvPr>
          <xdr:cNvSpPr txBox="1"/>
        </xdr:nvSpPr>
        <xdr:spPr>
          <a:xfrm>
            <a:off x="15277151" y="13151050"/>
            <a:ext cx="1210626" cy="53065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400">
                <a:solidFill>
                  <a:sysClr val="windowText" lastClr="000000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  <a:t>Внешний бортик</a:t>
            </a:r>
          </a:p>
        </xdr:txBody>
      </xdr:sp>
    </xdr:grpSp>
    <xdr:clientData/>
  </xdr:twoCellAnchor>
  <xdr:twoCellAnchor editAs="absolute">
    <xdr:from>
      <xdr:col>12</xdr:col>
      <xdr:colOff>1182230</xdr:colOff>
      <xdr:row>45</xdr:row>
      <xdr:rowOff>153872</xdr:rowOff>
    </xdr:from>
    <xdr:to>
      <xdr:col>14</xdr:col>
      <xdr:colOff>627973</xdr:colOff>
      <xdr:row>52</xdr:row>
      <xdr:rowOff>120982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B5ED89B8-57D1-4B99-9959-EDE6408D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68" r="7876"/>
        <a:stretch/>
      </xdr:blipFill>
      <xdr:spPr bwMode="auto">
        <a:xfrm>
          <a:off x="16830444" y="10001493"/>
          <a:ext cx="1745350" cy="1294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50617</xdr:colOff>
      <xdr:row>46</xdr:row>
      <xdr:rowOff>26727</xdr:rowOff>
    </xdr:from>
    <xdr:to>
      <xdr:col>12</xdr:col>
      <xdr:colOff>988588</xdr:colOff>
      <xdr:row>52</xdr:row>
      <xdr:rowOff>168144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863F5B0-ED2B-40AC-A327-6F8490CA42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/>
        <a:srcRect t="5290" r="1146" b="60453"/>
        <a:stretch/>
      </xdr:blipFill>
      <xdr:spPr>
        <a:xfrm>
          <a:off x="9820546" y="10058703"/>
          <a:ext cx="6816256" cy="1276955"/>
        </a:xfrm>
        <a:prstGeom prst="rect">
          <a:avLst/>
        </a:prstGeom>
      </xdr:spPr>
    </xdr:pic>
    <xdr:clientData/>
  </xdr:twoCellAnchor>
  <xdr:twoCellAnchor editAs="absolute">
    <xdr:from>
      <xdr:col>7</xdr:col>
      <xdr:colOff>26850</xdr:colOff>
      <xdr:row>56</xdr:row>
      <xdr:rowOff>19397</xdr:rowOff>
    </xdr:from>
    <xdr:to>
      <xdr:col>12</xdr:col>
      <xdr:colOff>1224184</xdr:colOff>
      <xdr:row>60</xdr:row>
      <xdr:rowOff>121745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F559A5CA-2DB7-4DE0-8440-7A6DC6FF63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/>
        <a:srcRect t="5548" b="67471"/>
        <a:stretch/>
      </xdr:blipFill>
      <xdr:spPr>
        <a:xfrm>
          <a:off x="9797656" y="11848832"/>
          <a:ext cx="7065963" cy="1008760"/>
        </a:xfrm>
        <a:prstGeom prst="rect">
          <a:avLst/>
        </a:prstGeom>
      </xdr:spPr>
    </xdr:pic>
    <xdr:clientData/>
  </xdr:twoCellAnchor>
  <xdr:twoCellAnchor editAs="absolute">
    <xdr:from>
      <xdr:col>7</xdr:col>
      <xdr:colOff>40822</xdr:colOff>
      <xdr:row>64</xdr:row>
      <xdr:rowOff>14261</xdr:rowOff>
    </xdr:from>
    <xdr:to>
      <xdr:col>12</xdr:col>
      <xdr:colOff>1264220</xdr:colOff>
      <xdr:row>70</xdr:row>
      <xdr:rowOff>123746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A260DDAA-FAF1-46DD-8827-22A867565E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949" t="4126" b="63640"/>
        <a:stretch>
          <a:fillRect/>
        </a:stretch>
      </xdr:blipFill>
      <xdr:spPr>
        <a:xfrm>
          <a:off x="9811628" y="13487527"/>
          <a:ext cx="7092027" cy="1200251"/>
        </a:xfrm>
        <a:prstGeom prst="rect">
          <a:avLst/>
        </a:prstGeom>
      </xdr:spPr>
    </xdr:pic>
    <xdr:clientData/>
  </xdr:twoCellAnchor>
  <xdr:twoCellAnchor editAs="absolute">
    <xdr:from>
      <xdr:col>7</xdr:col>
      <xdr:colOff>106245</xdr:colOff>
      <xdr:row>33</xdr:row>
      <xdr:rowOff>45651</xdr:rowOff>
    </xdr:from>
    <xdr:to>
      <xdr:col>10</xdr:col>
      <xdr:colOff>1309233</xdr:colOff>
      <xdr:row>42</xdr:row>
      <xdr:rowOff>149763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705704CE-CE4F-45A0-9AC7-3B1CA2997A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t="10761" b="16273"/>
        <a:stretch/>
      </xdr:blipFill>
      <xdr:spPr>
        <a:xfrm>
          <a:off x="9877051" y="7634925"/>
          <a:ext cx="4244843" cy="1763306"/>
        </a:xfrm>
        <a:prstGeom prst="rect">
          <a:avLst/>
        </a:prstGeom>
      </xdr:spPr>
    </xdr:pic>
    <xdr:clientData/>
  </xdr:twoCellAnchor>
  <xdr:twoCellAnchor editAs="absolute">
    <xdr:from>
      <xdr:col>11</xdr:col>
      <xdr:colOff>11355</xdr:colOff>
      <xdr:row>33</xdr:row>
      <xdr:rowOff>46922</xdr:rowOff>
    </xdr:from>
    <xdr:to>
      <xdr:col>14</xdr:col>
      <xdr:colOff>576360</xdr:colOff>
      <xdr:row>42</xdr:row>
      <xdr:rowOff>148362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AF032A4B-EF1E-4B1D-BDC7-DEA0234954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 t="12714" b="16137"/>
        <a:stretch/>
      </xdr:blipFill>
      <xdr:spPr>
        <a:xfrm>
          <a:off x="14237403" y="7636196"/>
          <a:ext cx="4282828" cy="1760634"/>
        </a:xfrm>
        <a:prstGeom prst="rect">
          <a:avLst/>
        </a:prstGeom>
      </xdr:spPr>
    </xdr:pic>
    <xdr:clientData/>
  </xdr:twoCellAnchor>
  <xdr:twoCellAnchor editAs="absolute">
    <xdr:from>
      <xdr:col>12</xdr:col>
      <xdr:colOff>1226557</xdr:colOff>
      <xdr:row>64</xdr:row>
      <xdr:rowOff>141941</xdr:rowOff>
    </xdr:from>
    <xdr:to>
      <xdr:col>14</xdr:col>
      <xdr:colOff>655187</xdr:colOff>
      <xdr:row>70</xdr:row>
      <xdr:rowOff>4037</xdr:rowOff>
    </xdr:to>
    <xdr:pic>
      <xdr:nvPicPr>
        <xdr:cNvPr id="93" name="Picture 6">
          <a:extLst>
            <a:ext uri="{FF2B5EF4-FFF2-40B4-BE49-F238E27FC236}">
              <a16:creationId xmlns:a16="http://schemas.microsoft.com/office/drawing/2014/main" id="{6401AC23-78DC-4FBD-946C-B34C8BF3C4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99" r="7946"/>
        <a:stretch/>
      </xdr:blipFill>
      <xdr:spPr bwMode="auto">
        <a:xfrm>
          <a:off x="16865992" y="13615207"/>
          <a:ext cx="1733066" cy="952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12</xdr:col>
      <xdr:colOff>1235758</xdr:colOff>
      <xdr:row>56</xdr:row>
      <xdr:rowOff>72103</xdr:rowOff>
    </xdr:from>
    <xdr:to>
      <xdr:col>14</xdr:col>
      <xdr:colOff>668794</xdr:colOff>
      <xdr:row>60</xdr:row>
      <xdr:rowOff>125546</xdr:rowOff>
    </xdr:to>
    <xdr:pic>
      <xdr:nvPicPr>
        <xdr:cNvPr id="92" name="Picture 4">
          <a:extLst>
            <a:ext uri="{FF2B5EF4-FFF2-40B4-BE49-F238E27FC236}">
              <a16:creationId xmlns:a16="http://schemas.microsoft.com/office/drawing/2014/main" id="{D755676C-BA18-484F-9839-CD12B7BA8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72" r="10272"/>
        <a:stretch/>
      </xdr:blipFill>
      <xdr:spPr bwMode="auto">
        <a:xfrm>
          <a:off x="16875193" y="11901538"/>
          <a:ext cx="1737472" cy="959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180975</xdr:colOff>
      <xdr:row>25</xdr:row>
      <xdr:rowOff>110162</xdr:rowOff>
    </xdr:from>
    <xdr:to>
      <xdr:col>7</xdr:col>
      <xdr:colOff>214369</xdr:colOff>
      <xdr:row>31</xdr:row>
      <xdr:rowOff>125658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BD54270-16BF-48FE-8B92-EC97E62648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465" b="3672"/>
        <a:stretch/>
      </xdr:blipFill>
      <xdr:spPr>
        <a:xfrm>
          <a:off x="3145631" y="4884568"/>
          <a:ext cx="2700394" cy="1265653"/>
        </a:xfrm>
        <a:prstGeom prst="rect">
          <a:avLst/>
        </a:prstGeom>
      </xdr:spPr>
    </xdr:pic>
    <xdr:clientData/>
  </xdr:twoCellAnchor>
  <xdr:twoCellAnchor editAs="absolute">
    <xdr:from>
      <xdr:col>12</xdr:col>
      <xdr:colOff>276749</xdr:colOff>
      <xdr:row>2</xdr:row>
      <xdr:rowOff>139583</xdr:rowOff>
    </xdr:from>
    <xdr:to>
      <xdr:col>15</xdr:col>
      <xdr:colOff>6488</xdr:colOff>
      <xdr:row>8</xdr:row>
      <xdr:rowOff>27856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698C6D4-4701-4271-99DA-53A909812B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0858"/>
        <a:stretch/>
      </xdr:blipFill>
      <xdr:spPr bwMode="auto">
        <a:xfrm>
          <a:off x="12671155" y="568208"/>
          <a:ext cx="3349239" cy="1090804"/>
        </a:xfrm>
        <a:prstGeom prst="rect">
          <a:avLst/>
        </a:prstGeom>
      </xdr:spPr>
    </xdr:pic>
    <xdr:clientData/>
  </xdr:twoCellAnchor>
  <xdr:twoCellAnchor editAs="absolute">
    <xdr:from>
      <xdr:col>12</xdr:col>
      <xdr:colOff>276678</xdr:colOff>
      <xdr:row>8</xdr:row>
      <xdr:rowOff>121321</xdr:rowOff>
    </xdr:from>
    <xdr:to>
      <xdr:col>15</xdr:col>
      <xdr:colOff>19502</xdr:colOff>
      <xdr:row>14</xdr:row>
      <xdr:rowOff>168171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4613495-BB67-4EA3-AE10-D59EFA87CD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5325"/>
        <a:stretch/>
      </xdr:blipFill>
      <xdr:spPr bwMode="auto">
        <a:xfrm>
          <a:off x="12671084" y="1752477"/>
          <a:ext cx="3362324" cy="1177944"/>
        </a:xfrm>
        <a:prstGeom prst="rect">
          <a:avLst/>
        </a:prstGeom>
      </xdr:spPr>
    </xdr:pic>
    <xdr:clientData/>
  </xdr:twoCellAnchor>
  <xdr:twoCellAnchor editAs="absolute">
    <xdr:from>
      <xdr:col>13</xdr:col>
      <xdr:colOff>539752</xdr:colOff>
      <xdr:row>15</xdr:row>
      <xdr:rowOff>29990</xdr:rowOff>
    </xdr:from>
    <xdr:to>
      <xdr:col>14</xdr:col>
      <xdr:colOff>739776</xdr:colOff>
      <xdr:row>19</xdr:row>
      <xdr:rowOff>123616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F13B9E0-922A-497D-9A2D-3978219B6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3" t="30986" r="26087" b="30436"/>
        <a:stretch/>
      </xdr:blipFill>
      <xdr:spPr>
        <a:xfrm>
          <a:off x="14243846" y="2970834"/>
          <a:ext cx="1378743" cy="831813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26</xdr:row>
      <xdr:rowOff>37462</xdr:rowOff>
    </xdr:from>
    <xdr:to>
      <xdr:col>2</xdr:col>
      <xdr:colOff>1416953</xdr:colOff>
      <xdr:row>31</xdr:row>
      <xdr:rowOff>241105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BB3FD66-9242-4256-98E9-BB83F4ADE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002368"/>
          <a:ext cx="2881422" cy="1263300"/>
        </a:xfrm>
        <a:prstGeom prst="rect">
          <a:avLst/>
        </a:prstGeom>
      </xdr:spPr>
    </xdr:pic>
    <xdr:clientData/>
  </xdr:twoCellAnchor>
  <xdr:twoCellAnchor editAs="absolute">
    <xdr:from>
      <xdr:col>13</xdr:col>
      <xdr:colOff>323800</xdr:colOff>
      <xdr:row>34</xdr:row>
      <xdr:rowOff>100013</xdr:rowOff>
    </xdr:from>
    <xdr:to>
      <xdr:col>15</xdr:col>
      <xdr:colOff>230363</xdr:colOff>
      <xdr:row>38</xdr:row>
      <xdr:rowOff>40482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F4519A6-E77B-46B7-B1C0-E3B5A6DAA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14014"/>
        <a:stretch>
          <a:fillRect/>
        </a:stretch>
      </xdr:blipFill>
      <xdr:spPr>
        <a:xfrm>
          <a:off x="14027894" y="6910388"/>
          <a:ext cx="2216375" cy="666750"/>
        </a:xfrm>
        <a:prstGeom prst="rect">
          <a:avLst/>
        </a:prstGeom>
      </xdr:spPr>
    </xdr:pic>
    <xdr:clientData/>
  </xdr:twoCellAnchor>
  <xdr:twoCellAnchor editAs="absolute">
    <xdr:from>
      <xdr:col>13</xdr:col>
      <xdr:colOff>630011</xdr:colOff>
      <xdr:row>25</xdr:row>
      <xdr:rowOff>34809</xdr:rowOff>
    </xdr:from>
    <xdr:to>
      <xdr:col>15</xdr:col>
      <xdr:colOff>32851</xdr:colOff>
      <xdr:row>29</xdr:row>
      <xdr:rowOff>82434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2460A5C-8D7C-4929-B00E-855C0AD508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0" t="35252" r="27367" b="34393"/>
        <a:stretch/>
      </xdr:blipFill>
      <xdr:spPr>
        <a:xfrm>
          <a:off x="14334105" y="4809215"/>
          <a:ext cx="1712652" cy="809625"/>
        </a:xfrm>
        <a:prstGeom prst="rect">
          <a:avLst/>
        </a:prstGeom>
      </xdr:spPr>
    </xdr:pic>
    <xdr:clientData/>
  </xdr:twoCellAnchor>
  <xdr:twoCellAnchor editAs="absolute">
    <xdr:from>
      <xdr:col>13</xdr:col>
      <xdr:colOff>620485</xdr:colOff>
      <xdr:row>20</xdr:row>
      <xdr:rowOff>30841</xdr:rowOff>
    </xdr:from>
    <xdr:to>
      <xdr:col>15</xdr:col>
      <xdr:colOff>10885</xdr:colOff>
      <xdr:row>24</xdr:row>
      <xdr:rowOff>30840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EBFE1FB-43D5-4222-8B9E-5C4DA175F4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5" t="32318" r="6927" b="21407"/>
        <a:stretch/>
      </xdr:blipFill>
      <xdr:spPr>
        <a:xfrm>
          <a:off x="14324579" y="3888466"/>
          <a:ext cx="1700212" cy="726280"/>
        </a:xfrm>
        <a:prstGeom prst="rect">
          <a:avLst/>
        </a:prstGeom>
      </xdr:spPr>
    </xdr:pic>
    <xdr:clientData/>
  </xdr:twoCellAnchor>
  <xdr:twoCellAnchor editAs="absolute">
    <xdr:from>
      <xdr:col>12</xdr:col>
      <xdr:colOff>147652</xdr:colOff>
      <xdr:row>37</xdr:row>
      <xdr:rowOff>136070</xdr:rowOff>
    </xdr:from>
    <xdr:to>
      <xdr:col>13</xdr:col>
      <xdr:colOff>1526</xdr:colOff>
      <xdr:row>42</xdr:row>
      <xdr:rowOff>95249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E71E3401-AA07-4F21-8D9F-26798F1E13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75" t="29546" r="17773" b="12018"/>
        <a:stretch/>
      </xdr:blipFill>
      <xdr:spPr>
        <a:xfrm>
          <a:off x="12542058" y="7482226"/>
          <a:ext cx="1163562" cy="864054"/>
        </a:xfrm>
        <a:prstGeom prst="rect">
          <a:avLst/>
        </a:prstGeom>
      </xdr:spPr>
    </xdr:pic>
    <xdr:clientData/>
  </xdr:twoCellAnchor>
  <xdr:twoCellAnchor editAs="absolute">
    <xdr:from>
      <xdr:col>9</xdr:col>
      <xdr:colOff>48081</xdr:colOff>
      <xdr:row>37</xdr:row>
      <xdr:rowOff>57601</xdr:rowOff>
    </xdr:from>
    <xdr:to>
      <xdr:col>9</xdr:col>
      <xdr:colOff>1327607</xdr:colOff>
      <xdr:row>42</xdr:row>
      <xdr:rowOff>119681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8930EE7-7CDA-4F33-8708-935E31E082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30" t="29120" r="20197" b="14559"/>
        <a:stretch/>
      </xdr:blipFill>
      <xdr:spPr>
        <a:xfrm>
          <a:off x="8430081" y="7403757"/>
          <a:ext cx="1279526" cy="966955"/>
        </a:xfrm>
        <a:prstGeom prst="rect">
          <a:avLst/>
        </a:prstGeom>
      </xdr:spPr>
    </xdr:pic>
    <xdr:clientData/>
  </xdr:twoCellAnchor>
  <xdr:twoCellAnchor editAs="absolute">
    <xdr:from>
      <xdr:col>11</xdr:col>
      <xdr:colOff>125006</xdr:colOff>
      <xdr:row>37</xdr:row>
      <xdr:rowOff>93885</xdr:rowOff>
    </xdr:from>
    <xdr:to>
      <xdr:col>12</xdr:col>
      <xdr:colOff>42890</xdr:colOff>
      <xdr:row>42</xdr:row>
      <xdr:rowOff>38114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8C9E180-2AF9-44C8-A7DD-0781813185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84" t="29815" r="24097" b="14228"/>
        <a:stretch/>
      </xdr:blipFill>
      <xdr:spPr>
        <a:xfrm>
          <a:off x="11281162" y="7440041"/>
          <a:ext cx="1156134" cy="849104"/>
        </a:xfrm>
        <a:prstGeom prst="rect">
          <a:avLst/>
        </a:prstGeom>
      </xdr:spPr>
    </xdr:pic>
    <xdr:clientData/>
  </xdr:twoCellAnchor>
  <xdr:twoCellAnchor editAs="absolute">
    <xdr:from>
      <xdr:col>10</xdr:col>
      <xdr:colOff>11432</xdr:colOff>
      <xdr:row>37</xdr:row>
      <xdr:rowOff>88293</xdr:rowOff>
    </xdr:from>
    <xdr:to>
      <xdr:col>10</xdr:col>
      <xdr:colOff>1333047</xdr:colOff>
      <xdr:row>42</xdr:row>
      <xdr:rowOff>83837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4DD8AA9-23AC-42EF-99EA-FAD34B43F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52" t="28478" r="24602" b="16226"/>
        <a:stretch/>
      </xdr:blipFill>
      <xdr:spPr>
        <a:xfrm>
          <a:off x="9834088" y="7434449"/>
          <a:ext cx="1321615" cy="900419"/>
        </a:xfrm>
        <a:prstGeom prst="rect">
          <a:avLst/>
        </a:prstGeom>
      </xdr:spPr>
    </xdr:pic>
    <xdr:clientData/>
  </xdr:twoCellAnchor>
  <xdr:twoCellAnchor editAs="absolute">
    <xdr:from>
      <xdr:col>13</xdr:col>
      <xdr:colOff>620940</xdr:colOff>
      <xdr:row>30</xdr:row>
      <xdr:rowOff>76993</xdr:rowOff>
    </xdr:from>
    <xdr:to>
      <xdr:col>15</xdr:col>
      <xdr:colOff>39915</xdr:colOff>
      <xdr:row>33</xdr:row>
      <xdr:rowOff>53222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2AB4E22A-1F45-4B4D-97C4-B3153F8F9C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9" t="24912" r="1853" b="19278"/>
        <a:stretch/>
      </xdr:blipFill>
      <xdr:spPr>
        <a:xfrm>
          <a:off x="14325034" y="5863431"/>
          <a:ext cx="1728787" cy="773947"/>
        </a:xfrm>
        <a:prstGeom prst="rect">
          <a:avLst/>
        </a:prstGeom>
      </xdr:spPr>
    </xdr:pic>
    <xdr:clientData/>
  </xdr:twoCellAnchor>
  <xdr:twoCellAnchor editAs="absolute">
    <xdr:from>
      <xdr:col>7</xdr:col>
      <xdr:colOff>481013</xdr:colOff>
      <xdr:row>25</xdr:row>
      <xdr:rowOff>130362</xdr:rowOff>
    </xdr:from>
    <xdr:to>
      <xdr:col>8</xdr:col>
      <xdr:colOff>1042988</xdr:colOff>
      <xdr:row>31</xdr:row>
      <xdr:rowOff>143725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A322334-7E5D-4F60-B7EC-0F5BCD896E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3243" t="8228" r="2994" b="5191"/>
        <a:stretch>
          <a:fillRect/>
        </a:stretch>
      </xdr:blipFill>
      <xdr:spPr>
        <a:xfrm>
          <a:off x="6112669" y="4904768"/>
          <a:ext cx="2097882" cy="1263520"/>
        </a:xfrm>
        <a:prstGeom prst="rect">
          <a:avLst/>
        </a:prstGeom>
      </xdr:spPr>
    </xdr:pic>
    <xdr:clientData/>
  </xdr:twoCellAnchor>
  <xdr:twoCellAnchor>
    <xdr:from>
      <xdr:col>13</xdr:col>
      <xdr:colOff>189837</xdr:colOff>
      <xdr:row>53</xdr:row>
      <xdr:rowOff>176324</xdr:rowOff>
    </xdr:from>
    <xdr:to>
      <xdr:col>15</xdr:col>
      <xdr:colOff>177346</xdr:colOff>
      <xdr:row>59</xdr:row>
      <xdr:rowOff>136071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B6F54CF-12B6-40AF-A2E7-362D04CFCA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53" t="18129" r="18421" b="24795"/>
        <a:stretch/>
      </xdr:blipFill>
      <xdr:spPr>
        <a:xfrm>
          <a:off x="14515437" y="10329974"/>
          <a:ext cx="2168734" cy="1150372"/>
        </a:xfrm>
        <a:prstGeom prst="rect">
          <a:avLst/>
        </a:prstGeom>
      </xdr:spPr>
    </xdr:pic>
    <xdr:clientData/>
  </xdr:twoCellAnchor>
  <xdr:twoCellAnchor>
    <xdr:from>
      <xdr:col>13</xdr:col>
      <xdr:colOff>95250</xdr:colOff>
      <xdr:row>59</xdr:row>
      <xdr:rowOff>174172</xdr:rowOff>
    </xdr:from>
    <xdr:to>
      <xdr:col>15</xdr:col>
      <xdr:colOff>209551</xdr:colOff>
      <xdr:row>63</xdr:row>
      <xdr:rowOff>94616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2A46B052-0C19-4B97-A283-3EBE3AC3FC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21975" r="3204"/>
        <a:stretch>
          <a:fillRect/>
        </a:stretch>
      </xdr:blipFill>
      <xdr:spPr>
        <a:xfrm>
          <a:off x="14420850" y="11518447"/>
          <a:ext cx="2295526" cy="1072969"/>
        </a:xfrm>
        <a:prstGeom prst="rect">
          <a:avLst/>
        </a:prstGeom>
      </xdr:spPr>
    </xdr:pic>
    <xdr:clientData/>
  </xdr:twoCellAnchor>
  <xdr:twoCellAnchor editAs="absolute">
    <xdr:from>
      <xdr:col>13</xdr:col>
      <xdr:colOff>333374</xdr:colOff>
      <xdr:row>43</xdr:row>
      <xdr:rowOff>126206</xdr:rowOff>
    </xdr:from>
    <xdr:to>
      <xdr:col>15</xdr:col>
      <xdr:colOff>228599</xdr:colOff>
      <xdr:row>48</xdr:row>
      <xdr:rowOff>136660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F53AD01B-836A-5F7B-E446-AB34D942F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037468" y="8555831"/>
          <a:ext cx="2205037" cy="951048"/>
        </a:xfrm>
        <a:prstGeom prst="rect">
          <a:avLst/>
        </a:prstGeom>
      </xdr:spPr>
    </xdr:pic>
    <xdr:clientData/>
  </xdr:twoCellAnchor>
  <xdr:twoCellAnchor>
    <xdr:from>
      <xdr:col>12</xdr:col>
      <xdr:colOff>1095374</xdr:colOff>
      <xdr:row>85</xdr:row>
      <xdr:rowOff>133351</xdr:rowOff>
    </xdr:from>
    <xdr:to>
      <xdr:col>15</xdr:col>
      <xdr:colOff>216887</xdr:colOff>
      <xdr:row>89</xdr:row>
      <xdr:rowOff>65121</xdr:rowOff>
    </xdr:to>
    <xdr:grpSp>
      <xdr:nvGrpSpPr>
        <xdr:cNvPr id="18" name="Группа 17">
          <a:extLst>
            <a:ext uri="{FF2B5EF4-FFF2-40B4-BE49-F238E27FC236}">
              <a16:creationId xmlns:a16="http://schemas.microsoft.com/office/drawing/2014/main" id="{5C66A385-D5FF-BAEB-E0D1-4C0B62C0AA37}"/>
            </a:ext>
          </a:extLst>
        </xdr:cNvPr>
        <xdr:cNvGrpSpPr/>
      </xdr:nvGrpSpPr>
      <xdr:grpSpPr>
        <a:xfrm>
          <a:off x="13489780" y="16861632"/>
          <a:ext cx="2741013" cy="669958"/>
          <a:chOff x="8648699" y="15678150"/>
          <a:chExt cx="3608715" cy="828675"/>
        </a:xfrm>
      </xdr:grpSpPr>
      <xdr:pic>
        <xdr:nvPicPr>
          <xdr:cNvPr id="34" name="Рисунок 33">
            <a:extLst>
              <a:ext uri="{FF2B5EF4-FFF2-40B4-BE49-F238E27FC236}">
                <a16:creationId xmlns:a16="http://schemas.microsoft.com/office/drawing/2014/main" id="{B7508B8A-7EEB-A924-222D-E317CFD13AB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595" t="16803" r="14228" b="23459"/>
          <a:stretch>
            <a:fillRect/>
          </a:stretch>
        </xdr:blipFill>
        <xdr:spPr>
          <a:xfrm>
            <a:off x="10526812" y="15678150"/>
            <a:ext cx="1730602" cy="828675"/>
          </a:xfrm>
          <a:prstGeom prst="rect">
            <a:avLst/>
          </a:prstGeom>
        </xdr:spPr>
      </xdr:pic>
      <xdr:pic>
        <xdr:nvPicPr>
          <xdr:cNvPr id="36" name="Рисунок 35">
            <a:extLst>
              <a:ext uri="{FF2B5EF4-FFF2-40B4-BE49-F238E27FC236}">
                <a16:creationId xmlns:a16="http://schemas.microsoft.com/office/drawing/2014/main" id="{C74ADEB5-AEEB-DA31-53D5-C70B673979F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3453" b="19218"/>
          <a:stretch>
            <a:fillRect/>
          </a:stretch>
        </xdr:blipFill>
        <xdr:spPr>
          <a:xfrm>
            <a:off x="8648699" y="15687676"/>
            <a:ext cx="1847851" cy="81851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409575</xdr:colOff>
      <xdr:row>65</xdr:row>
      <xdr:rowOff>85725</xdr:rowOff>
    </xdr:from>
    <xdr:to>
      <xdr:col>8</xdr:col>
      <xdr:colOff>247650</xdr:colOff>
      <xdr:row>72</xdr:row>
      <xdr:rowOff>171450</xdr:rowOff>
    </xdr:to>
    <xdr:grpSp>
      <xdr:nvGrpSpPr>
        <xdr:cNvPr id="47" name="Группа 46">
          <a:extLst>
            <a:ext uri="{FF2B5EF4-FFF2-40B4-BE49-F238E27FC236}">
              <a16:creationId xmlns:a16="http://schemas.microsoft.com/office/drawing/2014/main" id="{D55CFD92-FB8E-5B22-B4DF-8CEE07CD90B9}"/>
            </a:ext>
          </a:extLst>
        </xdr:cNvPr>
        <xdr:cNvGrpSpPr/>
      </xdr:nvGrpSpPr>
      <xdr:grpSpPr>
        <a:xfrm>
          <a:off x="457200" y="13087350"/>
          <a:ext cx="6958013" cy="1335881"/>
          <a:chOff x="457200" y="12753975"/>
          <a:chExt cx="7153275" cy="1333500"/>
        </a:xfrm>
      </xdr:grpSpPr>
      <xdr:pic>
        <xdr:nvPicPr>
          <xdr:cNvPr id="29" name="Рисунок 28">
            <a:extLst>
              <a:ext uri="{FF2B5EF4-FFF2-40B4-BE49-F238E27FC236}">
                <a16:creationId xmlns:a16="http://schemas.microsoft.com/office/drawing/2014/main" id="{A1EE268B-44B1-7526-A63A-C1D4CB891E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/>
          <a:stretch>
            <a:fillRect/>
          </a:stretch>
        </xdr:blipFill>
        <xdr:spPr>
          <a:xfrm>
            <a:off x="457200" y="12839700"/>
            <a:ext cx="3219668" cy="1247775"/>
          </a:xfrm>
          <a:prstGeom prst="rect">
            <a:avLst/>
          </a:prstGeom>
        </xdr:spPr>
      </xdr:pic>
      <xdr:pic>
        <xdr:nvPicPr>
          <xdr:cNvPr id="37" name="Рисунок 36">
            <a:extLst>
              <a:ext uri="{FF2B5EF4-FFF2-40B4-BE49-F238E27FC236}">
                <a16:creationId xmlns:a16="http://schemas.microsoft.com/office/drawing/2014/main" id="{78E3FCD7-168D-28E5-ABD7-4A333B5905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/>
          <a:stretch>
            <a:fillRect/>
          </a:stretch>
        </xdr:blipFill>
        <xdr:spPr>
          <a:xfrm>
            <a:off x="5353050" y="12753975"/>
            <a:ext cx="2257425" cy="1189217"/>
          </a:xfrm>
          <a:prstGeom prst="rect">
            <a:avLst/>
          </a:prstGeom>
        </xdr:spPr>
      </xdr:pic>
      <xdr:pic>
        <xdr:nvPicPr>
          <xdr:cNvPr id="38" name="Рисунок 37">
            <a:extLst>
              <a:ext uri="{FF2B5EF4-FFF2-40B4-BE49-F238E27FC236}">
                <a16:creationId xmlns:a16="http://schemas.microsoft.com/office/drawing/2014/main" id="{79B954F8-FD2D-D018-78A2-9AF590A14D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3714750" y="12792075"/>
            <a:ext cx="1638300" cy="26553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438151</xdr:colOff>
      <xdr:row>72</xdr:row>
      <xdr:rowOff>104775</xdr:rowOff>
    </xdr:from>
    <xdr:to>
      <xdr:col>8</xdr:col>
      <xdr:colOff>685723</xdr:colOff>
      <xdr:row>81</xdr:row>
      <xdr:rowOff>28575</xdr:rowOff>
    </xdr:to>
    <xdr:grpSp>
      <xdr:nvGrpSpPr>
        <xdr:cNvPr id="48" name="Группа 47">
          <a:extLst>
            <a:ext uri="{FF2B5EF4-FFF2-40B4-BE49-F238E27FC236}">
              <a16:creationId xmlns:a16="http://schemas.microsoft.com/office/drawing/2014/main" id="{20D6320C-D691-C615-C3F3-7521A42AB5F6}"/>
            </a:ext>
          </a:extLst>
        </xdr:cNvPr>
        <xdr:cNvGrpSpPr/>
      </xdr:nvGrpSpPr>
      <xdr:grpSpPr>
        <a:xfrm>
          <a:off x="485776" y="14356556"/>
          <a:ext cx="7367510" cy="1638300"/>
          <a:chOff x="485776" y="14020800"/>
          <a:chExt cx="7562772" cy="1552575"/>
        </a:xfrm>
      </xdr:grpSpPr>
      <xdr:pic>
        <xdr:nvPicPr>
          <xdr:cNvPr id="41" name="Рисунок 40">
            <a:extLst>
              <a:ext uri="{FF2B5EF4-FFF2-40B4-BE49-F238E27FC236}">
                <a16:creationId xmlns:a16="http://schemas.microsoft.com/office/drawing/2014/main" id="{B0D31AF9-9A60-D925-EE43-A572A5AD40B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3"/>
          <a:srcRect r="46056"/>
          <a:stretch>
            <a:fillRect/>
          </a:stretch>
        </xdr:blipFill>
        <xdr:spPr>
          <a:xfrm>
            <a:off x="485776" y="14363700"/>
            <a:ext cx="3257550" cy="1209675"/>
          </a:xfrm>
          <a:prstGeom prst="rect">
            <a:avLst/>
          </a:prstGeom>
        </xdr:spPr>
      </xdr:pic>
      <xdr:pic>
        <xdr:nvPicPr>
          <xdr:cNvPr id="42" name="Рисунок 41">
            <a:extLst>
              <a:ext uri="{FF2B5EF4-FFF2-40B4-BE49-F238E27FC236}">
                <a16:creationId xmlns:a16="http://schemas.microsoft.com/office/drawing/2014/main" id="{3E7BF1A3-96C4-4B12-A2B3-D24FBB09AB6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3"/>
          <a:srcRect l="53471"/>
          <a:stretch>
            <a:fillRect/>
          </a:stretch>
        </xdr:blipFill>
        <xdr:spPr>
          <a:xfrm>
            <a:off x="5238750" y="14201775"/>
            <a:ext cx="2809798" cy="1209675"/>
          </a:xfrm>
          <a:prstGeom prst="rect">
            <a:avLst/>
          </a:prstGeom>
        </xdr:spPr>
      </xdr:pic>
      <xdr:pic>
        <xdr:nvPicPr>
          <xdr:cNvPr id="43" name="Рисунок 42">
            <a:extLst>
              <a:ext uri="{FF2B5EF4-FFF2-40B4-BE49-F238E27FC236}">
                <a16:creationId xmlns:a16="http://schemas.microsoft.com/office/drawing/2014/main" id="{B7DC9086-ED2D-9B60-0700-3EBB886AFE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/>
          <a:stretch>
            <a:fillRect/>
          </a:stretch>
        </xdr:blipFill>
        <xdr:spPr>
          <a:xfrm>
            <a:off x="3409950" y="14020800"/>
            <a:ext cx="2181225" cy="269219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409575</xdr:colOff>
      <xdr:row>80</xdr:row>
      <xdr:rowOff>114300</xdr:rowOff>
    </xdr:from>
    <xdr:to>
      <xdr:col>8</xdr:col>
      <xdr:colOff>790541</xdr:colOff>
      <xdr:row>90</xdr:row>
      <xdr:rowOff>57150</xdr:rowOff>
    </xdr:to>
    <xdr:grpSp>
      <xdr:nvGrpSpPr>
        <xdr:cNvPr id="49" name="Группа 48">
          <a:extLst>
            <a:ext uri="{FF2B5EF4-FFF2-40B4-BE49-F238E27FC236}">
              <a16:creationId xmlns:a16="http://schemas.microsoft.com/office/drawing/2014/main" id="{7E2D3960-3D10-4B9E-9A66-286041670BA3}"/>
            </a:ext>
          </a:extLst>
        </xdr:cNvPr>
        <xdr:cNvGrpSpPr/>
      </xdr:nvGrpSpPr>
      <xdr:grpSpPr>
        <a:xfrm>
          <a:off x="457200" y="15890081"/>
          <a:ext cx="7500904" cy="1824038"/>
          <a:chOff x="457200" y="15478125"/>
          <a:chExt cx="7696166" cy="1752600"/>
        </a:xfrm>
      </xdr:grpSpPr>
      <xdr:pic>
        <xdr:nvPicPr>
          <xdr:cNvPr id="44" name="Рисунок 43">
            <a:extLst>
              <a:ext uri="{FF2B5EF4-FFF2-40B4-BE49-F238E27FC236}">
                <a16:creationId xmlns:a16="http://schemas.microsoft.com/office/drawing/2014/main" id="{8E52F972-035C-BE02-7865-54268FA1F14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5"/>
          <a:srcRect r="46200"/>
          <a:stretch>
            <a:fillRect/>
          </a:stretch>
        </xdr:blipFill>
        <xdr:spPr>
          <a:xfrm>
            <a:off x="457200" y="15811500"/>
            <a:ext cx="3371850" cy="1419225"/>
          </a:xfrm>
          <a:prstGeom prst="rect">
            <a:avLst/>
          </a:prstGeom>
        </xdr:spPr>
      </xdr:pic>
      <xdr:pic>
        <xdr:nvPicPr>
          <xdr:cNvPr id="45" name="Рисунок 44">
            <a:extLst>
              <a:ext uri="{FF2B5EF4-FFF2-40B4-BE49-F238E27FC236}">
                <a16:creationId xmlns:a16="http://schemas.microsoft.com/office/drawing/2014/main" id="{4D8B646B-E8DF-4A3D-B1BE-DA54ACA2CF7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5"/>
          <a:srcRect l="53496"/>
          <a:stretch>
            <a:fillRect/>
          </a:stretch>
        </xdr:blipFill>
        <xdr:spPr>
          <a:xfrm>
            <a:off x="5238750" y="15678150"/>
            <a:ext cx="2914616" cy="1419225"/>
          </a:xfrm>
          <a:prstGeom prst="rect">
            <a:avLst/>
          </a:prstGeom>
        </xdr:spPr>
      </xdr:pic>
      <xdr:pic>
        <xdr:nvPicPr>
          <xdr:cNvPr id="46" name="Рисунок 45">
            <a:extLst>
              <a:ext uri="{FF2B5EF4-FFF2-40B4-BE49-F238E27FC236}">
                <a16:creationId xmlns:a16="http://schemas.microsoft.com/office/drawing/2014/main" id="{027FEBC4-ACA5-BEE1-4A65-6A25DDF3D5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/>
          <a:stretch>
            <a:fillRect/>
          </a:stretch>
        </xdr:blipFill>
        <xdr:spPr>
          <a:xfrm>
            <a:off x="3571876" y="15478125"/>
            <a:ext cx="2066928" cy="295275"/>
          </a:xfrm>
          <a:prstGeom prst="rect">
            <a:avLst/>
          </a:prstGeom>
        </xdr:spPr>
      </xdr:pic>
    </xdr:grpSp>
    <xdr:clientData/>
  </xdr:twoCellAnchor>
  <xdr:twoCellAnchor editAs="absolute">
    <xdr:from>
      <xdr:col>8</xdr:col>
      <xdr:colOff>765142</xdr:colOff>
      <xdr:row>71</xdr:row>
      <xdr:rowOff>126207</xdr:rowOff>
    </xdr:from>
    <xdr:to>
      <xdr:col>12</xdr:col>
      <xdr:colOff>1084505</xdr:colOff>
      <xdr:row>91</xdr:row>
      <xdr:rowOff>192881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7BF8526B-E8BB-C978-CCE4-9A71782968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t="4462"/>
        <a:stretch>
          <a:fillRect/>
        </a:stretch>
      </xdr:blipFill>
      <xdr:spPr>
        <a:xfrm>
          <a:off x="7932705" y="14199395"/>
          <a:ext cx="5546206" cy="38290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159557</xdr:colOff>
      <xdr:row>44</xdr:row>
      <xdr:rowOff>37792</xdr:rowOff>
    </xdr:from>
    <xdr:to>
      <xdr:col>6</xdr:col>
      <xdr:colOff>87603</xdr:colOff>
      <xdr:row>58</xdr:row>
      <xdr:rowOff>100613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9ED0E2B-E879-40DB-881C-FDA429815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3557" y="9704306"/>
          <a:ext cx="4423846" cy="2816907"/>
        </a:xfrm>
        <a:prstGeom prst="rect">
          <a:avLst/>
        </a:prstGeom>
      </xdr:spPr>
    </xdr:pic>
    <xdr:clientData/>
  </xdr:twoCellAnchor>
  <xdr:twoCellAnchor editAs="absolute">
    <xdr:from>
      <xdr:col>0</xdr:col>
      <xdr:colOff>108858</xdr:colOff>
      <xdr:row>45</xdr:row>
      <xdr:rowOff>109027</xdr:rowOff>
    </xdr:from>
    <xdr:to>
      <xdr:col>2</xdr:col>
      <xdr:colOff>1128677</xdr:colOff>
      <xdr:row>58</xdr:row>
      <xdr:rowOff>83547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D560661-82DA-4650-839F-4C6F1030CA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08" t="23416" b="18259"/>
        <a:stretch/>
      </xdr:blipFill>
      <xdr:spPr>
        <a:xfrm>
          <a:off x="108858" y="9960598"/>
          <a:ext cx="5091076" cy="2543549"/>
        </a:xfrm>
        <a:prstGeom prst="rect">
          <a:avLst/>
        </a:prstGeom>
      </xdr:spPr>
    </xdr:pic>
    <xdr:clientData/>
  </xdr:twoCellAnchor>
  <xdr:twoCellAnchor editAs="absolute">
    <xdr:from>
      <xdr:col>8</xdr:col>
      <xdr:colOff>28574</xdr:colOff>
      <xdr:row>4</xdr:row>
      <xdr:rowOff>33875</xdr:rowOff>
    </xdr:from>
    <xdr:to>
      <xdr:col>9</xdr:col>
      <xdr:colOff>89351</xdr:colOff>
      <xdr:row>8</xdr:row>
      <xdr:rowOff>20321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9900988-CDD0-498E-BD6B-614E699CE6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88" t="29120" r="18899" b="14559"/>
        <a:stretch/>
      </xdr:blipFill>
      <xdr:spPr>
        <a:xfrm>
          <a:off x="10292714" y="948275"/>
          <a:ext cx="1517285" cy="1091346"/>
        </a:xfrm>
        <a:prstGeom prst="rect">
          <a:avLst/>
        </a:prstGeom>
      </xdr:spPr>
    </xdr:pic>
    <xdr:clientData/>
  </xdr:twoCellAnchor>
  <xdr:twoCellAnchor editAs="absolute">
    <xdr:from>
      <xdr:col>10</xdr:col>
      <xdr:colOff>96702</xdr:colOff>
      <xdr:row>4</xdr:row>
      <xdr:rowOff>23673</xdr:rowOff>
    </xdr:from>
    <xdr:to>
      <xdr:col>11</xdr:col>
      <xdr:colOff>108131</xdr:colOff>
      <xdr:row>7</xdr:row>
      <xdr:rowOff>186054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AD2D57C-C523-45CA-AFC3-F5FD0201E8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84" t="29815" r="24097" b="14228"/>
        <a:stretch/>
      </xdr:blipFill>
      <xdr:spPr>
        <a:xfrm>
          <a:off x="13279302" y="948959"/>
          <a:ext cx="1470115" cy="1055009"/>
        </a:xfrm>
        <a:prstGeom prst="rect">
          <a:avLst/>
        </a:prstGeom>
      </xdr:spPr>
    </xdr:pic>
    <xdr:clientData/>
  </xdr:twoCellAnchor>
  <xdr:twoCellAnchor editAs="absolute">
    <xdr:from>
      <xdr:col>8</xdr:col>
      <xdr:colOff>1330960</xdr:colOff>
      <xdr:row>6</xdr:row>
      <xdr:rowOff>121920</xdr:rowOff>
    </xdr:from>
    <xdr:to>
      <xdr:col>10</xdr:col>
      <xdr:colOff>117566</xdr:colOff>
      <xdr:row>8</xdr:row>
      <xdr:rowOff>284480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B0DA03A-1B15-4F7E-9EEB-5E676E64E0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88" t="31438" r="24602" b="19530"/>
        <a:stretch/>
      </xdr:blipFill>
      <xdr:spPr>
        <a:xfrm>
          <a:off x="11595100" y="1402080"/>
          <a:ext cx="1701800" cy="901700"/>
        </a:xfrm>
        <a:prstGeom prst="rect">
          <a:avLst/>
        </a:prstGeom>
      </xdr:spPr>
    </xdr:pic>
    <xdr:clientData/>
  </xdr:twoCellAnchor>
  <xdr:twoCellAnchor editAs="absolute">
    <xdr:from>
      <xdr:col>10</xdr:col>
      <xdr:colOff>1388473</xdr:colOff>
      <xdr:row>5</xdr:row>
      <xdr:rowOff>165099</xdr:rowOff>
    </xdr:from>
    <xdr:to>
      <xdr:col>12</xdr:col>
      <xdr:colOff>6712</xdr:colOff>
      <xdr:row>8</xdr:row>
      <xdr:rowOff>284480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267DF9C-9740-4FC4-A046-DD56A437E8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75" t="29546" r="14208" b="12018"/>
        <a:stretch/>
      </xdr:blipFill>
      <xdr:spPr>
        <a:xfrm>
          <a:off x="14571073" y="1275442"/>
          <a:ext cx="1492068" cy="1044667"/>
        </a:xfrm>
        <a:prstGeom prst="rect">
          <a:avLst/>
        </a:prstGeom>
      </xdr:spPr>
    </xdr:pic>
    <xdr:clientData/>
  </xdr:twoCellAnchor>
  <xdr:twoCellAnchor editAs="absolute">
    <xdr:from>
      <xdr:col>3</xdr:col>
      <xdr:colOff>213360</xdr:colOff>
      <xdr:row>12</xdr:row>
      <xdr:rowOff>11612</xdr:rowOff>
    </xdr:from>
    <xdr:to>
      <xdr:col>4</xdr:col>
      <xdr:colOff>853441</xdr:colOff>
      <xdr:row>16</xdr:row>
      <xdr:rowOff>190204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704B3D1-2FA3-43D4-AE3F-0631DC97C7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2" t="25718" r="12335" b="19917"/>
        <a:stretch>
          <a:fillRect/>
        </a:stretch>
      </xdr:blipFill>
      <xdr:spPr>
        <a:xfrm>
          <a:off x="5547360" y="3037841"/>
          <a:ext cx="1913710" cy="1016792"/>
        </a:xfrm>
        <a:prstGeom prst="rect">
          <a:avLst/>
        </a:prstGeom>
      </xdr:spPr>
    </xdr:pic>
    <xdr:clientData/>
  </xdr:twoCellAnchor>
  <xdr:twoCellAnchor editAs="absolute">
    <xdr:from>
      <xdr:col>4</xdr:col>
      <xdr:colOff>1036319</xdr:colOff>
      <xdr:row>12</xdr:row>
      <xdr:rowOff>14153</xdr:rowOff>
    </xdr:from>
    <xdr:to>
      <xdr:col>6</xdr:col>
      <xdr:colOff>1180</xdr:colOff>
      <xdr:row>16</xdr:row>
      <xdr:rowOff>182944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841F72E-1500-4274-ADA5-B1B284D21D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0" t="35252" r="27367" b="34393"/>
        <a:stretch/>
      </xdr:blipFill>
      <xdr:spPr>
        <a:xfrm>
          <a:off x="7643948" y="3040382"/>
          <a:ext cx="2172063" cy="1006991"/>
        </a:xfrm>
        <a:prstGeom prst="rect">
          <a:avLst/>
        </a:prstGeom>
      </xdr:spPr>
    </xdr:pic>
    <xdr:clientData/>
  </xdr:twoCellAnchor>
  <xdr:twoCellAnchor editAs="absolute">
    <xdr:from>
      <xdr:col>12</xdr:col>
      <xdr:colOff>133195</xdr:colOff>
      <xdr:row>1</xdr:row>
      <xdr:rowOff>119743</xdr:rowOff>
    </xdr:from>
    <xdr:to>
      <xdr:col>14</xdr:col>
      <xdr:colOff>490661</xdr:colOff>
      <xdr:row>5</xdr:row>
      <xdr:rowOff>163286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7F1622A5-5452-4279-8DED-F92C41A9F2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16019"/>
        <a:stretch>
          <a:fillRect/>
        </a:stretch>
      </xdr:blipFill>
      <xdr:spPr>
        <a:xfrm>
          <a:off x="16233166" y="489857"/>
          <a:ext cx="2719666" cy="783772"/>
        </a:xfrm>
        <a:prstGeom prst="rect">
          <a:avLst/>
        </a:prstGeom>
      </xdr:spPr>
    </xdr:pic>
    <xdr:clientData/>
  </xdr:twoCellAnchor>
  <xdr:twoCellAnchor editAs="absolute">
    <xdr:from>
      <xdr:col>12</xdr:col>
      <xdr:colOff>254034</xdr:colOff>
      <xdr:row>15</xdr:row>
      <xdr:rowOff>40641</xdr:rowOff>
    </xdr:from>
    <xdr:to>
      <xdr:col>14</xdr:col>
      <xdr:colOff>457202</xdr:colOff>
      <xdr:row>21</xdr:row>
      <xdr:rowOff>111570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58A1874-AB4A-42B4-804D-4A112AC379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53" t="18129" r="18421" b="24795"/>
        <a:stretch/>
      </xdr:blipFill>
      <xdr:spPr>
        <a:xfrm>
          <a:off x="16354005" y="3709127"/>
          <a:ext cx="2565368" cy="1333672"/>
        </a:xfrm>
        <a:prstGeom prst="rect">
          <a:avLst/>
        </a:prstGeom>
      </xdr:spPr>
    </xdr:pic>
    <xdr:clientData/>
  </xdr:twoCellAnchor>
  <xdr:twoCellAnchor editAs="absolute">
    <xdr:from>
      <xdr:col>12</xdr:col>
      <xdr:colOff>126826</xdr:colOff>
      <xdr:row>21</xdr:row>
      <xdr:rowOff>121921</xdr:rowOff>
    </xdr:from>
    <xdr:to>
      <xdr:col>14</xdr:col>
      <xdr:colOff>588765</xdr:colOff>
      <xdr:row>26</xdr:row>
      <xdr:rowOff>160752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FA1E7E3-2DC1-48C7-A3C7-7E358FC6B9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21975"/>
        <a:stretch/>
      </xdr:blipFill>
      <xdr:spPr>
        <a:xfrm>
          <a:off x="16226797" y="5053150"/>
          <a:ext cx="2824139" cy="1225373"/>
        </a:xfrm>
        <a:prstGeom prst="rect">
          <a:avLst/>
        </a:prstGeom>
      </xdr:spPr>
    </xdr:pic>
    <xdr:clientData/>
  </xdr:twoCellAnchor>
  <xdr:twoCellAnchor editAs="absolute">
    <xdr:from>
      <xdr:col>2</xdr:col>
      <xdr:colOff>942262</xdr:colOff>
      <xdr:row>25</xdr:row>
      <xdr:rowOff>54724</xdr:rowOff>
    </xdr:from>
    <xdr:to>
      <xdr:col>3</xdr:col>
      <xdr:colOff>1187459</xdr:colOff>
      <xdr:row>28</xdr:row>
      <xdr:rowOff>95913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7135128-115E-43F3-9045-A8454F6F0F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3" t="30986" r="26087" b="30436"/>
        <a:stretch/>
      </xdr:blipFill>
      <xdr:spPr>
        <a:xfrm>
          <a:off x="5013519" y="5878581"/>
          <a:ext cx="1507940" cy="868503"/>
        </a:xfrm>
        <a:prstGeom prst="rect">
          <a:avLst/>
        </a:prstGeom>
      </xdr:spPr>
    </xdr:pic>
    <xdr:clientData/>
  </xdr:twoCellAnchor>
  <xdr:twoCellAnchor editAs="absolute">
    <xdr:from>
      <xdr:col>1</xdr:col>
      <xdr:colOff>1108817</xdr:colOff>
      <xdr:row>22</xdr:row>
      <xdr:rowOff>69216</xdr:rowOff>
    </xdr:from>
    <xdr:to>
      <xdr:col>3</xdr:col>
      <xdr:colOff>12672</xdr:colOff>
      <xdr:row>26</xdr:row>
      <xdr:rowOff>43543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ABDFE961-FFFD-40C4-8DEA-0BC82E8AF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66" t="19519" r="14227" b="14502"/>
        <a:stretch/>
      </xdr:blipFill>
      <xdr:spPr>
        <a:xfrm>
          <a:off x="3895560" y="5218159"/>
          <a:ext cx="1451112" cy="943155"/>
        </a:xfrm>
        <a:prstGeom prst="rect">
          <a:avLst/>
        </a:prstGeom>
      </xdr:spPr>
    </xdr:pic>
    <xdr:clientData/>
  </xdr:twoCellAnchor>
  <xdr:twoCellAnchor editAs="absolute">
    <xdr:from>
      <xdr:col>0</xdr:col>
      <xdr:colOff>1604319</xdr:colOff>
      <xdr:row>98</xdr:row>
      <xdr:rowOff>171434</xdr:rowOff>
    </xdr:from>
    <xdr:to>
      <xdr:col>4</xdr:col>
      <xdr:colOff>822873</xdr:colOff>
      <xdr:row>114</xdr:row>
      <xdr:rowOff>81786</xdr:rowOff>
    </xdr:to>
    <xdr:grpSp>
      <xdr:nvGrpSpPr>
        <xdr:cNvPr id="16" name="Группа 15">
          <a:extLst>
            <a:ext uri="{FF2B5EF4-FFF2-40B4-BE49-F238E27FC236}">
              <a16:creationId xmlns:a16="http://schemas.microsoft.com/office/drawing/2014/main" id="{55A1A5D8-416D-41CC-8679-51C5D379638D}"/>
            </a:ext>
          </a:extLst>
        </xdr:cNvPr>
        <xdr:cNvGrpSpPr/>
      </xdr:nvGrpSpPr>
      <xdr:grpSpPr>
        <a:xfrm>
          <a:off x="1604319" y="20241970"/>
          <a:ext cx="5641125" cy="2958352"/>
          <a:chOff x="10264347" y="14508891"/>
          <a:chExt cx="4553464" cy="2244354"/>
        </a:xfrm>
      </xdr:grpSpPr>
      <xdr:pic>
        <xdr:nvPicPr>
          <xdr:cNvPr id="17" name="Рисунок 16">
            <a:extLst>
              <a:ext uri="{FF2B5EF4-FFF2-40B4-BE49-F238E27FC236}">
                <a16:creationId xmlns:a16="http://schemas.microsoft.com/office/drawing/2014/main" id="{A866348E-CEA5-AABD-1301-FE4BBEC9BB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/>
          <a:srcRect b="66185"/>
          <a:stretch>
            <a:fillRect/>
          </a:stretch>
        </xdr:blipFill>
        <xdr:spPr>
          <a:xfrm>
            <a:off x="10266405" y="14508891"/>
            <a:ext cx="4551406" cy="926758"/>
          </a:xfrm>
          <a:prstGeom prst="rect">
            <a:avLst/>
          </a:prstGeom>
        </xdr:spPr>
      </xdr:pic>
      <xdr:pic>
        <xdr:nvPicPr>
          <xdr:cNvPr id="18" name="Рисунок 17">
            <a:extLst>
              <a:ext uri="{FF2B5EF4-FFF2-40B4-BE49-F238E27FC236}">
                <a16:creationId xmlns:a16="http://schemas.microsoft.com/office/drawing/2014/main" id="{E852AB28-D70F-FD9C-E7EF-CD41638FE1B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"/>
          <a:srcRect t="50046"/>
          <a:stretch>
            <a:fillRect/>
          </a:stretch>
        </xdr:blipFill>
        <xdr:spPr>
          <a:xfrm>
            <a:off x="10264347" y="15384162"/>
            <a:ext cx="4551406" cy="1369083"/>
          </a:xfrm>
          <a:prstGeom prst="rect">
            <a:avLst/>
          </a:prstGeom>
        </xdr:spPr>
      </xdr:pic>
    </xdr:grpSp>
    <xdr:clientData/>
  </xdr:twoCellAnchor>
  <xdr:twoCellAnchor editAs="absolute">
    <xdr:from>
      <xdr:col>0</xdr:col>
      <xdr:colOff>1636093</xdr:colOff>
      <xdr:row>78</xdr:row>
      <xdr:rowOff>71491</xdr:rowOff>
    </xdr:from>
    <xdr:to>
      <xdr:col>4</xdr:col>
      <xdr:colOff>750467</xdr:colOff>
      <xdr:row>95</xdr:row>
      <xdr:rowOff>11443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4B130CD6-6742-4FE2-865E-1A082D37C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36093" y="16182348"/>
          <a:ext cx="5722003" cy="3249209"/>
        </a:xfrm>
        <a:prstGeom prst="rect">
          <a:avLst/>
        </a:prstGeom>
      </xdr:spPr>
    </xdr:pic>
    <xdr:clientData/>
  </xdr:twoCellAnchor>
  <xdr:twoCellAnchor editAs="absolute">
    <xdr:from>
      <xdr:col>3</xdr:col>
      <xdr:colOff>189676</xdr:colOff>
      <xdr:row>31</xdr:row>
      <xdr:rowOff>106215</xdr:rowOff>
    </xdr:from>
    <xdr:to>
      <xdr:col>5</xdr:col>
      <xdr:colOff>1619420</xdr:colOff>
      <xdr:row>39</xdr:row>
      <xdr:rowOff>10296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D7DB995F-AA85-4747-B676-6F7C695243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16367" b="9949"/>
        <a:stretch/>
      </xdr:blipFill>
      <xdr:spPr>
        <a:xfrm>
          <a:off x="5516056" y="7368075"/>
          <a:ext cx="4195804" cy="1367121"/>
        </a:xfrm>
        <a:prstGeom prst="rect">
          <a:avLst/>
        </a:prstGeom>
      </xdr:spPr>
    </xdr:pic>
    <xdr:clientData/>
  </xdr:twoCellAnchor>
  <xdr:twoCellAnchor editAs="absolute">
    <xdr:from>
      <xdr:col>0</xdr:col>
      <xdr:colOff>47660</xdr:colOff>
      <xdr:row>31</xdr:row>
      <xdr:rowOff>112447</xdr:rowOff>
    </xdr:from>
    <xdr:to>
      <xdr:col>2</xdr:col>
      <xdr:colOff>1173892</xdr:colOff>
      <xdr:row>42</xdr:row>
      <xdr:rowOff>176595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14E3707F-5C1B-4F2B-9FE4-EBD1C8A173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4" t="22812" b="28036"/>
        <a:stretch/>
      </xdr:blipFill>
      <xdr:spPr>
        <a:xfrm>
          <a:off x="47660" y="7374307"/>
          <a:ext cx="5187692" cy="2075828"/>
        </a:xfrm>
        <a:prstGeom prst="rect">
          <a:avLst/>
        </a:prstGeom>
      </xdr:spPr>
    </xdr:pic>
    <xdr:clientData/>
  </xdr:twoCellAnchor>
  <xdr:twoCellAnchor editAs="absolute">
    <xdr:from>
      <xdr:col>12</xdr:col>
      <xdr:colOff>97969</xdr:colOff>
      <xdr:row>7</xdr:row>
      <xdr:rowOff>119743</xdr:rowOff>
    </xdr:from>
    <xdr:to>
      <xdr:col>14</xdr:col>
      <xdr:colOff>492417</xdr:colOff>
      <xdr:row>12</xdr:row>
      <xdr:rowOff>54428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56EDED08-3AB2-4041-9935-B2A71C110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6197940" y="1937657"/>
          <a:ext cx="2756648" cy="1143000"/>
        </a:xfrm>
        <a:prstGeom prst="rect">
          <a:avLst/>
        </a:prstGeom>
      </xdr:spPr>
    </xdr:pic>
    <xdr:clientData/>
  </xdr:twoCellAnchor>
  <xdr:twoCellAnchor editAs="absolute">
    <xdr:from>
      <xdr:col>0</xdr:col>
      <xdr:colOff>1440740</xdr:colOff>
      <xdr:row>61</xdr:row>
      <xdr:rowOff>97970</xdr:rowOff>
    </xdr:from>
    <xdr:to>
      <xdr:col>5</xdr:col>
      <xdr:colOff>1219200</xdr:colOff>
      <xdr:row>76</xdr:row>
      <xdr:rowOff>87087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6CF7C28E-ABD9-4C22-9EF7-07B44DE96350}"/>
            </a:ext>
          </a:extLst>
        </xdr:cNvPr>
        <xdr:cNvGrpSpPr/>
      </xdr:nvGrpSpPr>
      <xdr:grpSpPr>
        <a:xfrm>
          <a:off x="1440740" y="13051970"/>
          <a:ext cx="7643389" cy="2833010"/>
          <a:chOff x="1440740" y="13073741"/>
          <a:chExt cx="7877431" cy="2754089"/>
        </a:xfrm>
      </xdr:grpSpPr>
      <xdr:grpSp>
        <xdr:nvGrpSpPr>
          <xdr:cNvPr id="29" name="Группа 28">
            <a:extLst>
              <a:ext uri="{FF2B5EF4-FFF2-40B4-BE49-F238E27FC236}">
                <a16:creationId xmlns:a16="http://schemas.microsoft.com/office/drawing/2014/main" id="{E57F1B58-C1D6-5C6E-55CC-B490652C3AC8}"/>
              </a:ext>
            </a:extLst>
          </xdr:cNvPr>
          <xdr:cNvGrpSpPr/>
        </xdr:nvGrpSpPr>
        <xdr:grpSpPr>
          <a:xfrm>
            <a:off x="1440740" y="13073741"/>
            <a:ext cx="6873592" cy="2754089"/>
            <a:chOff x="1429855" y="13356770"/>
            <a:chExt cx="6873592" cy="2754089"/>
          </a:xfrm>
        </xdr:grpSpPr>
        <xdr:pic>
          <xdr:nvPicPr>
            <xdr:cNvPr id="15" name="Рисунок 14">
              <a:extLst>
                <a:ext uri="{FF2B5EF4-FFF2-40B4-BE49-F238E27FC236}">
                  <a16:creationId xmlns:a16="http://schemas.microsoft.com/office/drawing/2014/main" id="{F80F84F3-92A5-496E-A728-CCC0C2B1F071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9"/>
            <a:srcRect t="4954" b="69481"/>
            <a:stretch>
              <a:fillRect/>
            </a:stretch>
          </xdr:blipFill>
          <xdr:spPr>
            <a:xfrm>
              <a:off x="1429855" y="13356770"/>
              <a:ext cx="6873592" cy="1153887"/>
            </a:xfrm>
            <a:prstGeom prst="rect">
              <a:avLst/>
            </a:prstGeom>
          </xdr:spPr>
        </xdr:pic>
        <xdr:pic>
          <xdr:nvPicPr>
            <xdr:cNvPr id="28" name="Рисунок 27">
              <a:extLst>
                <a:ext uri="{FF2B5EF4-FFF2-40B4-BE49-F238E27FC236}">
                  <a16:creationId xmlns:a16="http://schemas.microsoft.com/office/drawing/2014/main" id="{2DA65B71-6143-4A9A-9975-33A0BB0FE166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9"/>
            <a:srcRect t="62354" b="1712"/>
            <a:stretch>
              <a:fillRect/>
            </a:stretch>
          </xdr:blipFill>
          <xdr:spPr>
            <a:xfrm>
              <a:off x="1429855" y="14488887"/>
              <a:ext cx="6873592" cy="1621972"/>
            </a:xfrm>
            <a:prstGeom prst="rect">
              <a:avLst/>
            </a:prstGeom>
          </xdr:spPr>
        </xdr:pic>
      </xdr:grpSp>
      <xdr:pic>
        <xdr:nvPicPr>
          <xdr:cNvPr id="30" name="Рисунок 29">
            <a:extLst>
              <a:ext uri="{FF2B5EF4-FFF2-40B4-BE49-F238E27FC236}">
                <a16:creationId xmlns:a16="http://schemas.microsoft.com/office/drawing/2014/main" id="{5A8E1D44-DF8E-436C-AAC3-AAB51C9CECD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9"/>
          <a:srcRect l="78552" t="32207" r="2919" b="36199"/>
          <a:stretch>
            <a:fillRect/>
          </a:stretch>
        </xdr:blipFill>
        <xdr:spPr>
          <a:xfrm>
            <a:off x="8044543" y="14216741"/>
            <a:ext cx="1273628" cy="1426029"/>
          </a:xfrm>
          <a:prstGeom prst="rect">
            <a:avLst/>
          </a:prstGeom>
        </xdr:spPr>
      </xdr:pic>
    </xdr:grpSp>
    <xdr:clientData/>
  </xdr:twoCellAnchor>
  <xdr:twoCellAnchor editAs="absolute">
    <xdr:from>
      <xdr:col>8</xdr:col>
      <xdr:colOff>250367</xdr:colOff>
      <xdr:row>47</xdr:row>
      <xdr:rowOff>185055</xdr:rowOff>
    </xdr:from>
    <xdr:to>
      <xdr:col>14</xdr:col>
      <xdr:colOff>527188</xdr:colOff>
      <xdr:row>77</xdr:row>
      <xdr:rowOff>10883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E73C09B1-FD5F-4F40-AFC6-6A3CCF28E4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l="921" t="4462"/>
        <a:stretch>
          <a:fillRect/>
        </a:stretch>
      </xdr:blipFill>
      <xdr:spPr>
        <a:xfrm>
          <a:off x="10515596" y="10406741"/>
          <a:ext cx="8473763" cy="5529942"/>
        </a:xfrm>
        <a:prstGeom prst="rect">
          <a:avLst/>
        </a:prstGeom>
      </xdr:spPr>
    </xdr:pic>
    <xdr:clientData/>
  </xdr:twoCellAnchor>
  <xdr:twoCellAnchor>
    <xdr:from>
      <xdr:col>11</xdr:col>
      <xdr:colOff>-1</xdr:colOff>
      <xdr:row>37</xdr:row>
      <xdr:rowOff>76205</xdr:rowOff>
    </xdr:from>
    <xdr:to>
      <xdr:col>14</xdr:col>
      <xdr:colOff>1014425</xdr:colOff>
      <xdr:row>43</xdr:row>
      <xdr:rowOff>76202</xdr:rowOff>
    </xdr:to>
    <xdr:grpSp>
      <xdr:nvGrpSpPr>
        <xdr:cNvPr id="36" name="Группа 35">
          <a:extLst>
            <a:ext uri="{FF2B5EF4-FFF2-40B4-BE49-F238E27FC236}">
              <a16:creationId xmlns:a16="http://schemas.microsoft.com/office/drawing/2014/main" id="{403AF580-C480-F1F8-C342-23AF56A711AC}"/>
            </a:ext>
          </a:extLst>
        </xdr:cNvPr>
        <xdr:cNvGrpSpPr/>
      </xdr:nvGrpSpPr>
      <xdr:grpSpPr>
        <a:xfrm>
          <a:off x="14233070" y="8376562"/>
          <a:ext cx="4729176" cy="1115783"/>
          <a:chOff x="16067315" y="11462659"/>
          <a:chExt cx="2855313" cy="655670"/>
        </a:xfrm>
      </xdr:grpSpPr>
      <xdr:pic>
        <xdr:nvPicPr>
          <xdr:cNvPr id="34" name="Рисунок 33">
            <a:extLst>
              <a:ext uri="{FF2B5EF4-FFF2-40B4-BE49-F238E27FC236}">
                <a16:creationId xmlns:a16="http://schemas.microsoft.com/office/drawing/2014/main" id="{259E0AA1-7759-4D00-9F46-46E3B441674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595" t="16803" r="14228" b="23459"/>
          <a:stretch>
            <a:fillRect/>
          </a:stretch>
        </xdr:blipFill>
        <xdr:spPr>
          <a:xfrm>
            <a:off x="17553329" y="11462659"/>
            <a:ext cx="1369299" cy="655670"/>
          </a:xfrm>
          <a:prstGeom prst="rect">
            <a:avLst/>
          </a:prstGeom>
        </xdr:spPr>
      </xdr:pic>
      <xdr:pic>
        <xdr:nvPicPr>
          <xdr:cNvPr id="35" name="Рисунок 34">
            <a:extLst>
              <a:ext uri="{FF2B5EF4-FFF2-40B4-BE49-F238E27FC236}">
                <a16:creationId xmlns:a16="http://schemas.microsoft.com/office/drawing/2014/main" id="{8B1240B9-0594-4746-ADF5-46BB5946D7E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3453" b="19218"/>
          <a:stretch>
            <a:fillRect/>
          </a:stretch>
        </xdr:blipFill>
        <xdr:spPr>
          <a:xfrm>
            <a:off x="16067315" y="11470196"/>
            <a:ext cx="1462070" cy="647627"/>
          </a:xfrm>
          <a:prstGeom prst="rect">
            <a:avLst/>
          </a:prstGeom>
        </xdr:spPr>
      </xdr:pic>
    </xdr:grpSp>
    <xdr:clientData/>
  </xdr:twoCellAnchor>
  <xdr:twoCellAnchor editAs="absolute">
    <xdr:from>
      <xdr:col>8</xdr:col>
      <xdr:colOff>1338945</xdr:colOff>
      <xdr:row>79</xdr:row>
      <xdr:rowOff>174170</xdr:rowOff>
    </xdr:from>
    <xdr:to>
      <xdr:col>13</xdr:col>
      <xdr:colOff>103706</xdr:colOff>
      <xdr:row>89</xdr:row>
      <xdr:rowOff>97970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3884B8A5-78C7-5E8D-5941-5189EA4B7E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l="1815" t="14367" r="1" b="3779"/>
        <a:stretch>
          <a:fillRect/>
        </a:stretch>
      </xdr:blipFill>
      <xdr:spPr>
        <a:xfrm>
          <a:off x="11604174" y="16470084"/>
          <a:ext cx="5960218" cy="1883229"/>
        </a:xfrm>
        <a:prstGeom prst="rect">
          <a:avLst/>
        </a:prstGeom>
      </xdr:spPr>
    </xdr:pic>
    <xdr:clientData/>
  </xdr:twoCellAnchor>
  <xdr:twoCellAnchor editAs="absolute">
    <xdr:from>
      <xdr:col>9</xdr:col>
      <xdr:colOff>643734</xdr:colOff>
      <xdr:row>92</xdr:row>
      <xdr:rowOff>55554</xdr:rowOff>
    </xdr:from>
    <xdr:to>
      <xdr:col>12</xdr:col>
      <xdr:colOff>625148</xdr:colOff>
      <xdr:row>104</xdr:row>
      <xdr:rowOff>58371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C84C3708-8554-13C7-9E8A-F06B2E14CC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1643" r="9035"/>
        <a:stretch>
          <a:fillRect/>
        </a:stretch>
      </xdr:blipFill>
      <xdr:spPr>
        <a:xfrm>
          <a:off x="12367648" y="18887840"/>
          <a:ext cx="4357471" cy="2256160"/>
        </a:xfrm>
        <a:prstGeom prst="rect">
          <a:avLst/>
        </a:prstGeom>
      </xdr:spPr>
    </xdr:pic>
    <xdr:clientData/>
  </xdr:twoCellAnchor>
  <xdr:twoCellAnchor editAs="absolute">
    <xdr:from>
      <xdr:col>8</xdr:col>
      <xdr:colOff>838198</xdr:colOff>
      <xdr:row>104</xdr:row>
      <xdr:rowOff>119744</xdr:rowOff>
    </xdr:from>
    <xdr:to>
      <xdr:col>13</xdr:col>
      <xdr:colOff>373902</xdr:colOff>
      <xdr:row>115</xdr:row>
      <xdr:rowOff>69808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1B26EB57-4166-0009-5DD6-5E13AF479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103427" y="21205373"/>
          <a:ext cx="6731161" cy="19856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69</xdr:row>
      <xdr:rowOff>0</xdr:rowOff>
    </xdr:from>
    <xdr:to>
      <xdr:col>8</xdr:col>
      <xdr:colOff>304800</xdr:colOff>
      <xdr:row>70</xdr:row>
      <xdr:rowOff>122343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8C942B5B-D4F6-4D2A-AB41-AD40CA8CE643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502640"/>
          <a:ext cx="304800" cy="305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absolute">
    <xdr:from>
      <xdr:col>8</xdr:col>
      <xdr:colOff>28574</xdr:colOff>
      <xdr:row>3</xdr:row>
      <xdr:rowOff>54195</xdr:rowOff>
    </xdr:from>
    <xdr:to>
      <xdr:col>9</xdr:col>
      <xdr:colOff>56995</xdr:colOff>
      <xdr:row>8</xdr:row>
      <xdr:rowOff>30481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11B38D7-E33F-458D-86E6-25646DC88C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88" t="29120" r="18899" b="14559"/>
        <a:stretch/>
      </xdr:blipFill>
      <xdr:spPr>
        <a:xfrm>
          <a:off x="10467974" y="785715"/>
          <a:ext cx="1517285" cy="1088806"/>
        </a:xfrm>
        <a:prstGeom prst="rect">
          <a:avLst/>
        </a:prstGeom>
      </xdr:spPr>
    </xdr:pic>
    <xdr:clientData/>
  </xdr:twoCellAnchor>
  <xdr:twoCellAnchor editAs="absolute">
    <xdr:from>
      <xdr:col>10</xdr:col>
      <xdr:colOff>96096</xdr:colOff>
      <xdr:row>3</xdr:row>
      <xdr:rowOff>43993</xdr:rowOff>
    </xdr:from>
    <xdr:to>
      <xdr:col>11</xdr:col>
      <xdr:colOff>67310</xdr:colOff>
      <xdr:row>7</xdr:row>
      <xdr:rowOff>196214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3640DA8-8359-4FE5-8B0C-01DA0A7DF0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84" t="29815" r="24097" b="14228"/>
        <a:stretch/>
      </xdr:blipFill>
      <xdr:spPr>
        <a:xfrm>
          <a:off x="13516610" y="775513"/>
          <a:ext cx="1466850" cy="1051381"/>
        </a:xfrm>
        <a:prstGeom prst="rect">
          <a:avLst/>
        </a:prstGeom>
      </xdr:spPr>
    </xdr:pic>
    <xdr:clientData/>
  </xdr:twoCellAnchor>
  <xdr:twoCellAnchor editAs="absolute">
    <xdr:from>
      <xdr:col>8</xdr:col>
      <xdr:colOff>1330960</xdr:colOff>
      <xdr:row>5</xdr:row>
      <xdr:rowOff>142240</xdr:rowOff>
    </xdr:from>
    <xdr:to>
      <xdr:col>10</xdr:col>
      <xdr:colOff>51646</xdr:colOff>
      <xdr:row>8</xdr:row>
      <xdr:rowOff>294640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A7DD562-1F37-49BA-A1F8-A01A766ED3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88" t="31438" r="24602" b="19530"/>
        <a:stretch/>
      </xdr:blipFill>
      <xdr:spPr>
        <a:xfrm>
          <a:off x="11770360" y="1239520"/>
          <a:ext cx="1701800" cy="899160"/>
        </a:xfrm>
        <a:prstGeom prst="rect">
          <a:avLst/>
        </a:prstGeom>
      </xdr:spPr>
    </xdr:pic>
    <xdr:clientData/>
  </xdr:twoCellAnchor>
  <xdr:twoCellAnchor editAs="absolute">
    <xdr:from>
      <xdr:col>10</xdr:col>
      <xdr:colOff>1366096</xdr:colOff>
      <xdr:row>5</xdr:row>
      <xdr:rowOff>2539</xdr:rowOff>
    </xdr:from>
    <xdr:to>
      <xdr:col>11</xdr:col>
      <xdr:colOff>1359263</xdr:colOff>
      <xdr:row>8</xdr:row>
      <xdr:rowOff>294640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9EBCD23-57DF-4F9E-807E-EF02484460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75" t="29546" r="14208" b="12018"/>
        <a:stretch/>
      </xdr:blipFill>
      <xdr:spPr>
        <a:xfrm>
          <a:off x="14786610" y="1099819"/>
          <a:ext cx="1488803" cy="1038861"/>
        </a:xfrm>
        <a:prstGeom prst="rect">
          <a:avLst/>
        </a:prstGeom>
      </xdr:spPr>
    </xdr:pic>
    <xdr:clientData/>
  </xdr:twoCellAnchor>
  <xdr:twoCellAnchor editAs="absolute">
    <xdr:from>
      <xdr:col>12</xdr:col>
      <xdr:colOff>467353</xdr:colOff>
      <xdr:row>1</xdr:row>
      <xdr:rowOff>105833</xdr:rowOff>
    </xdr:from>
    <xdr:to>
      <xdr:col>14</xdr:col>
      <xdr:colOff>180195</xdr:colOff>
      <xdr:row>5</xdr:row>
      <xdr:rowOff>148166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F47BDF2-89A7-48A5-AF40-8EFDCD08EA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6126"/>
        <a:stretch>
          <a:fillRect/>
        </a:stretch>
      </xdr:blipFill>
      <xdr:spPr>
        <a:xfrm>
          <a:off x="16871520" y="476250"/>
          <a:ext cx="2697342" cy="761999"/>
        </a:xfrm>
        <a:prstGeom prst="rect">
          <a:avLst/>
        </a:prstGeom>
      </xdr:spPr>
    </xdr:pic>
    <xdr:clientData/>
  </xdr:twoCellAnchor>
  <xdr:twoCellAnchor editAs="absolute">
    <xdr:from>
      <xdr:col>12</xdr:col>
      <xdr:colOff>327425</xdr:colOff>
      <xdr:row>24</xdr:row>
      <xdr:rowOff>99636</xdr:rowOff>
    </xdr:from>
    <xdr:to>
      <xdr:col>14</xdr:col>
      <xdr:colOff>248666</xdr:colOff>
      <xdr:row>31</xdr:row>
      <xdr:rowOff>105205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D8B5388-FC6B-4A42-8D93-0465310886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21975"/>
        <a:stretch/>
      </xdr:blipFill>
      <xdr:spPr>
        <a:xfrm>
          <a:off x="16731592" y="5306636"/>
          <a:ext cx="2905741" cy="1264986"/>
        </a:xfrm>
        <a:prstGeom prst="rect">
          <a:avLst/>
        </a:prstGeom>
      </xdr:spPr>
    </xdr:pic>
    <xdr:clientData/>
  </xdr:twoCellAnchor>
  <xdr:twoCellAnchor editAs="absolute">
    <xdr:from>
      <xdr:col>12</xdr:col>
      <xdr:colOff>416137</xdr:colOff>
      <xdr:row>17</xdr:row>
      <xdr:rowOff>3</xdr:rowOff>
    </xdr:from>
    <xdr:to>
      <xdr:col>14</xdr:col>
      <xdr:colOff>119326</xdr:colOff>
      <xdr:row>24</xdr:row>
      <xdr:rowOff>28932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79A7A3C-7F2E-4FFD-97F4-50B2DDE74A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53" t="18129" r="18421" b="24795"/>
        <a:stretch/>
      </xdr:blipFill>
      <xdr:spPr>
        <a:xfrm>
          <a:off x="16820304" y="3831170"/>
          <a:ext cx="2687689" cy="1404762"/>
        </a:xfrm>
        <a:prstGeom prst="rect">
          <a:avLst/>
        </a:prstGeom>
      </xdr:spPr>
    </xdr:pic>
    <xdr:clientData/>
  </xdr:twoCellAnchor>
  <xdr:twoCellAnchor editAs="absolute">
    <xdr:from>
      <xdr:col>2</xdr:col>
      <xdr:colOff>1039563</xdr:colOff>
      <xdr:row>26</xdr:row>
      <xdr:rowOff>116417</xdr:rowOff>
    </xdr:from>
    <xdr:to>
      <xdr:col>3</xdr:col>
      <xdr:colOff>1185334</xdr:colOff>
      <xdr:row>31</xdr:row>
      <xdr:rowOff>100749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8EDE819-79BA-4CEE-83BA-5726AA54AE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3" t="30986" r="26087" b="30436"/>
        <a:stretch/>
      </xdr:blipFill>
      <xdr:spPr>
        <a:xfrm>
          <a:off x="5062923" y="5717117"/>
          <a:ext cx="1532611" cy="898732"/>
        </a:xfrm>
        <a:prstGeom prst="rect">
          <a:avLst/>
        </a:prstGeom>
      </xdr:spPr>
    </xdr:pic>
    <xdr:clientData/>
  </xdr:twoCellAnchor>
  <xdr:twoCellAnchor editAs="absolute">
    <xdr:from>
      <xdr:col>2</xdr:col>
      <xdr:colOff>26544</xdr:colOff>
      <xdr:row>22</xdr:row>
      <xdr:rowOff>81280</xdr:rowOff>
    </xdr:from>
    <xdr:to>
      <xdr:col>3</xdr:col>
      <xdr:colOff>31750</xdr:colOff>
      <xdr:row>27</xdr:row>
      <xdr:rowOff>103333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D3DC436-9FB8-4689-B8BE-185E3F260B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66" t="19519" r="14227" b="14502"/>
        <a:stretch/>
      </xdr:blipFill>
      <xdr:spPr>
        <a:xfrm>
          <a:off x="4049904" y="4950460"/>
          <a:ext cx="1392046" cy="936453"/>
        </a:xfrm>
        <a:prstGeom prst="rect">
          <a:avLst/>
        </a:prstGeom>
      </xdr:spPr>
    </xdr:pic>
    <xdr:clientData/>
  </xdr:twoCellAnchor>
  <xdr:twoCellAnchor editAs="absolute">
    <xdr:from>
      <xdr:col>3</xdr:col>
      <xdr:colOff>314960</xdr:colOff>
      <xdr:row>11</xdr:row>
      <xdr:rowOff>162560</xdr:rowOff>
    </xdr:from>
    <xdr:to>
      <xdr:col>4</xdr:col>
      <xdr:colOff>924561</xdr:colOff>
      <xdr:row>16</xdr:row>
      <xdr:rowOff>156094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EF12CBAE-B75F-4439-A725-4D1F6C8741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2" t="25718" r="12335" b="19917"/>
        <a:stretch>
          <a:fillRect/>
        </a:stretch>
      </xdr:blipFill>
      <xdr:spPr>
        <a:xfrm>
          <a:off x="5725160" y="2791460"/>
          <a:ext cx="1905001" cy="1014614"/>
        </a:xfrm>
        <a:prstGeom prst="rect">
          <a:avLst/>
        </a:prstGeom>
      </xdr:spPr>
    </xdr:pic>
    <xdr:clientData/>
  </xdr:twoCellAnchor>
  <xdr:twoCellAnchor editAs="absolute">
    <xdr:from>
      <xdr:col>4</xdr:col>
      <xdr:colOff>1117599</xdr:colOff>
      <xdr:row>11</xdr:row>
      <xdr:rowOff>165101</xdr:rowOff>
    </xdr:from>
    <xdr:to>
      <xdr:col>6</xdr:col>
      <xdr:colOff>0</xdr:colOff>
      <xdr:row>16</xdr:row>
      <xdr:rowOff>148834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F84B5344-001A-46E4-8954-5936C30607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0" t="35252" r="27367" b="34393"/>
        <a:stretch/>
      </xdr:blipFill>
      <xdr:spPr>
        <a:xfrm>
          <a:off x="7823199" y="2794001"/>
          <a:ext cx="2174241" cy="1004813"/>
        </a:xfrm>
        <a:prstGeom prst="rect">
          <a:avLst/>
        </a:prstGeom>
      </xdr:spPr>
    </xdr:pic>
    <xdr:clientData/>
  </xdr:twoCellAnchor>
  <xdr:twoCellAnchor editAs="absolute">
    <xdr:from>
      <xdr:col>4</xdr:col>
      <xdr:colOff>1024461</xdr:colOff>
      <xdr:row>46</xdr:row>
      <xdr:rowOff>187538</xdr:rowOff>
    </xdr:from>
    <xdr:to>
      <xdr:col>5</xdr:col>
      <xdr:colOff>1259418</xdr:colOff>
      <xdr:row>53</xdr:row>
      <xdr:rowOff>107682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4AAFFFB0-62AE-41CF-A2F8-44ED6968F3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68" r="7876"/>
        <a:stretch/>
      </xdr:blipFill>
      <xdr:spPr bwMode="auto">
        <a:xfrm>
          <a:off x="7730061" y="9415358"/>
          <a:ext cx="1797057" cy="1276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1037167</xdr:colOff>
      <xdr:row>55</xdr:row>
      <xdr:rowOff>135615</xdr:rowOff>
    </xdr:from>
    <xdr:to>
      <xdr:col>5</xdr:col>
      <xdr:colOff>1259417</xdr:colOff>
      <xdr:row>60</xdr:row>
      <xdr:rowOff>167989</xdr:rowOff>
    </xdr:to>
    <xdr:pic>
      <xdr:nvPicPr>
        <xdr:cNvPr id="15" name="Picture 4">
          <a:extLst>
            <a:ext uri="{FF2B5EF4-FFF2-40B4-BE49-F238E27FC236}">
              <a16:creationId xmlns:a16="http://schemas.microsoft.com/office/drawing/2014/main" id="{DB876A17-67EF-4BFD-A5A9-EEF2BCCBD7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72" r="10272"/>
        <a:stretch/>
      </xdr:blipFill>
      <xdr:spPr bwMode="auto">
        <a:xfrm>
          <a:off x="7742767" y="11085555"/>
          <a:ext cx="1784350" cy="939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1041573</xdr:colOff>
      <xdr:row>63</xdr:row>
      <xdr:rowOff>51825</xdr:rowOff>
    </xdr:from>
    <xdr:to>
      <xdr:col>5</xdr:col>
      <xdr:colOff>1259417</xdr:colOff>
      <xdr:row>68</xdr:row>
      <xdr:rowOff>84668</xdr:rowOff>
    </xdr:to>
    <xdr:pic>
      <xdr:nvPicPr>
        <xdr:cNvPr id="16" name="Picture 6">
          <a:extLst>
            <a:ext uri="{FF2B5EF4-FFF2-40B4-BE49-F238E27FC236}">
              <a16:creationId xmlns:a16="http://schemas.microsoft.com/office/drawing/2014/main" id="{1D18185F-F49B-4EFA-A806-48D132C3A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99" r="7946"/>
        <a:stretch/>
      </xdr:blipFill>
      <xdr:spPr bwMode="auto">
        <a:xfrm>
          <a:off x="7747173" y="12457185"/>
          <a:ext cx="1779944" cy="947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96955</xdr:colOff>
      <xdr:row>47</xdr:row>
      <xdr:rowOff>40640</xdr:rowOff>
    </xdr:from>
    <xdr:to>
      <xdr:col>4</xdr:col>
      <xdr:colOff>408997</xdr:colOff>
      <xdr:row>53</xdr:row>
      <xdr:rowOff>133774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9CFD3045-4B37-4297-A86D-E4DAA63696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t="5290" r="1146" b="60453"/>
        <a:stretch/>
      </xdr:blipFill>
      <xdr:spPr>
        <a:xfrm>
          <a:off x="96955" y="9466580"/>
          <a:ext cx="7017642" cy="1251374"/>
        </a:xfrm>
        <a:prstGeom prst="rect">
          <a:avLst/>
        </a:prstGeom>
      </xdr:spPr>
    </xdr:pic>
    <xdr:clientData/>
  </xdr:twoCellAnchor>
  <xdr:twoCellAnchor editAs="absolute">
    <xdr:from>
      <xdr:col>0</xdr:col>
      <xdr:colOff>86795</xdr:colOff>
      <xdr:row>55</xdr:row>
      <xdr:rowOff>72814</xdr:rowOff>
    </xdr:from>
    <xdr:to>
      <xdr:col>4</xdr:col>
      <xdr:colOff>658200</xdr:colOff>
      <xdr:row>60</xdr:row>
      <xdr:rowOff>154093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E72440CF-321E-4AA5-9506-418A5E863B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5548" b="67471"/>
        <a:stretch/>
      </xdr:blipFill>
      <xdr:spPr>
        <a:xfrm>
          <a:off x="86795" y="11022754"/>
          <a:ext cx="7277005" cy="988059"/>
        </a:xfrm>
        <a:prstGeom prst="rect">
          <a:avLst/>
        </a:prstGeom>
      </xdr:spPr>
    </xdr:pic>
    <xdr:clientData/>
  </xdr:twoCellAnchor>
  <xdr:twoCellAnchor editAs="absolute">
    <xdr:from>
      <xdr:col>0</xdr:col>
      <xdr:colOff>5515</xdr:colOff>
      <xdr:row>62</xdr:row>
      <xdr:rowOff>93135</xdr:rowOff>
    </xdr:from>
    <xdr:to>
      <xdr:col>4</xdr:col>
      <xdr:colOff>671022</xdr:colOff>
      <xdr:row>69</xdr:row>
      <xdr:rowOff>4658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18C681C2-5EE8-4E9F-A0A2-9E5436EF51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4126" b="63640"/>
        <a:stretch/>
      </xdr:blipFill>
      <xdr:spPr>
        <a:xfrm>
          <a:off x="5515" y="12315615"/>
          <a:ext cx="7371107" cy="1191683"/>
        </a:xfrm>
        <a:prstGeom prst="rect">
          <a:avLst/>
        </a:prstGeom>
      </xdr:spPr>
    </xdr:pic>
    <xdr:clientData/>
  </xdr:twoCellAnchor>
  <xdr:twoCellAnchor editAs="absolute">
    <xdr:from>
      <xdr:col>0</xdr:col>
      <xdr:colOff>740832</xdr:colOff>
      <xdr:row>70</xdr:row>
      <xdr:rowOff>10583</xdr:rowOff>
    </xdr:from>
    <xdr:to>
      <xdr:col>2</xdr:col>
      <xdr:colOff>772582</xdr:colOff>
      <xdr:row>77</xdr:row>
      <xdr:rowOff>89068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858B5216-9AF0-495B-B800-C2DE17AD3D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16367" b="9949"/>
        <a:stretch/>
      </xdr:blipFill>
      <xdr:spPr>
        <a:xfrm>
          <a:off x="740832" y="13696103"/>
          <a:ext cx="4055110" cy="1358645"/>
        </a:xfrm>
        <a:prstGeom prst="rect">
          <a:avLst/>
        </a:prstGeom>
      </xdr:spPr>
    </xdr:pic>
    <xdr:clientData/>
  </xdr:twoCellAnchor>
  <xdr:twoCellAnchor editAs="absolute">
    <xdr:from>
      <xdr:col>0</xdr:col>
      <xdr:colOff>111760</xdr:colOff>
      <xdr:row>34</xdr:row>
      <xdr:rowOff>51223</xdr:rowOff>
    </xdr:from>
    <xdr:to>
      <xdr:col>2</xdr:col>
      <xdr:colOff>998335</xdr:colOff>
      <xdr:row>45</xdr:row>
      <xdr:rowOff>46534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1CC6F5FC-0735-434F-BC37-CDAC8E4FA7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t="10761" b="16273"/>
        <a:stretch/>
      </xdr:blipFill>
      <xdr:spPr>
        <a:xfrm>
          <a:off x="111760" y="7084483"/>
          <a:ext cx="4909935" cy="2006991"/>
        </a:xfrm>
        <a:prstGeom prst="rect">
          <a:avLst/>
        </a:prstGeom>
      </xdr:spPr>
    </xdr:pic>
    <xdr:clientData/>
  </xdr:twoCellAnchor>
  <xdr:twoCellAnchor editAs="absolute">
    <xdr:from>
      <xdr:col>2</xdr:col>
      <xdr:colOff>1078228</xdr:colOff>
      <xdr:row>34</xdr:row>
      <xdr:rowOff>52494</xdr:rowOff>
    </xdr:from>
    <xdr:to>
      <xdr:col>6</xdr:col>
      <xdr:colOff>105836</xdr:colOff>
      <xdr:row>45</xdr:row>
      <xdr:rowOff>44793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4093F708-82CE-4DE8-9865-E7AE50FFD5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t="12714" b="16137"/>
        <a:stretch/>
      </xdr:blipFill>
      <xdr:spPr>
        <a:xfrm>
          <a:off x="5101588" y="7085754"/>
          <a:ext cx="5001688" cy="2003979"/>
        </a:xfrm>
        <a:prstGeom prst="rect">
          <a:avLst/>
        </a:prstGeom>
      </xdr:spPr>
    </xdr:pic>
    <xdr:clientData/>
  </xdr:twoCellAnchor>
  <xdr:twoCellAnchor editAs="absolute">
    <xdr:from>
      <xdr:col>12</xdr:col>
      <xdr:colOff>476243</xdr:colOff>
      <xdr:row>8</xdr:row>
      <xdr:rowOff>74082</xdr:rowOff>
    </xdr:from>
    <xdr:to>
      <xdr:col>14</xdr:col>
      <xdr:colOff>248391</xdr:colOff>
      <xdr:row>12</xdr:row>
      <xdr:rowOff>253999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33CAFF35-C9E4-4C41-907D-330CE46DB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6880410" y="1904999"/>
          <a:ext cx="2756648" cy="1143000"/>
        </a:xfrm>
        <a:prstGeom prst="rect">
          <a:avLst/>
        </a:prstGeom>
      </xdr:spPr>
    </xdr:pic>
    <xdr:clientData/>
  </xdr:twoCellAnchor>
  <xdr:twoCellAnchor>
    <xdr:from>
      <xdr:col>11</xdr:col>
      <xdr:colOff>10582</xdr:colOff>
      <xdr:row>40</xdr:row>
      <xdr:rowOff>76206</xdr:rowOff>
    </xdr:from>
    <xdr:to>
      <xdr:col>14</xdr:col>
      <xdr:colOff>423333</xdr:colOff>
      <xdr:row>46</xdr:row>
      <xdr:rowOff>46723</xdr:rowOff>
    </xdr:to>
    <xdr:grpSp>
      <xdr:nvGrpSpPr>
        <xdr:cNvPr id="30" name="Группа 29">
          <a:extLst>
            <a:ext uri="{FF2B5EF4-FFF2-40B4-BE49-F238E27FC236}">
              <a16:creationId xmlns:a16="http://schemas.microsoft.com/office/drawing/2014/main" id="{E0A479CB-8A75-49C4-961A-88079766DAC3}"/>
            </a:ext>
          </a:extLst>
        </xdr:cNvPr>
        <xdr:cNvGrpSpPr/>
      </xdr:nvGrpSpPr>
      <xdr:grpSpPr>
        <a:xfrm>
          <a:off x="14474975" y="8172456"/>
          <a:ext cx="4739822" cy="1099910"/>
          <a:chOff x="16067315" y="11462659"/>
          <a:chExt cx="2855313" cy="655670"/>
        </a:xfrm>
      </xdr:grpSpPr>
      <xdr:pic>
        <xdr:nvPicPr>
          <xdr:cNvPr id="31" name="Рисунок 30">
            <a:extLst>
              <a:ext uri="{FF2B5EF4-FFF2-40B4-BE49-F238E27FC236}">
                <a16:creationId xmlns:a16="http://schemas.microsoft.com/office/drawing/2014/main" id="{59C6B540-18ED-4D17-F8B8-338E17DF036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595" t="16803" r="14228" b="23459"/>
          <a:stretch>
            <a:fillRect/>
          </a:stretch>
        </xdr:blipFill>
        <xdr:spPr>
          <a:xfrm>
            <a:off x="17553329" y="11462659"/>
            <a:ext cx="1369299" cy="655670"/>
          </a:xfrm>
          <a:prstGeom prst="rect">
            <a:avLst/>
          </a:prstGeom>
        </xdr:spPr>
      </xdr:pic>
      <xdr:pic>
        <xdr:nvPicPr>
          <xdr:cNvPr id="32" name="Рисунок 31">
            <a:extLst>
              <a:ext uri="{FF2B5EF4-FFF2-40B4-BE49-F238E27FC236}">
                <a16:creationId xmlns:a16="http://schemas.microsoft.com/office/drawing/2014/main" id="{253B593C-5273-EB7B-6C5B-CAF00550D91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3453" b="19218"/>
          <a:stretch>
            <a:fillRect/>
          </a:stretch>
        </xdr:blipFill>
        <xdr:spPr>
          <a:xfrm>
            <a:off x="16067315" y="11470196"/>
            <a:ext cx="1462070" cy="647627"/>
          </a:xfrm>
          <a:prstGeom prst="rect">
            <a:avLst/>
          </a:prstGeom>
        </xdr:spPr>
      </xdr:pic>
    </xdr:grpSp>
    <xdr:clientData/>
  </xdr:twoCellAnchor>
  <xdr:twoCellAnchor editAs="absolute">
    <xdr:from>
      <xdr:col>8</xdr:col>
      <xdr:colOff>511628</xdr:colOff>
      <xdr:row>50</xdr:row>
      <xdr:rowOff>152401</xdr:rowOff>
    </xdr:from>
    <xdr:to>
      <xdr:col>14</xdr:col>
      <xdr:colOff>37334</xdr:colOff>
      <xdr:row>80</xdr:row>
      <xdr:rowOff>87086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CA1EE68B-1F80-476B-847F-3D26051CDC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921" t="4462"/>
        <a:stretch>
          <a:fillRect/>
        </a:stretch>
      </xdr:blipFill>
      <xdr:spPr>
        <a:xfrm>
          <a:off x="10940142" y="10210801"/>
          <a:ext cx="8473763" cy="5529942"/>
        </a:xfrm>
        <a:prstGeom prst="rect">
          <a:avLst/>
        </a:prstGeom>
      </xdr:spPr>
    </xdr:pic>
    <xdr:clientData/>
  </xdr:twoCellAnchor>
  <xdr:twoCellAnchor editAs="absolute">
    <xdr:from>
      <xdr:col>8</xdr:col>
      <xdr:colOff>1338945</xdr:colOff>
      <xdr:row>82</xdr:row>
      <xdr:rowOff>174170</xdr:rowOff>
    </xdr:from>
    <xdr:to>
      <xdr:col>13</xdr:col>
      <xdr:colOff>103706</xdr:colOff>
      <xdr:row>92</xdr:row>
      <xdr:rowOff>97970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DEFB3979-DDF0-4E95-B62F-917386B201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1815" t="14367" r="1" b="3779"/>
        <a:stretch>
          <a:fillRect/>
        </a:stretch>
      </xdr:blipFill>
      <xdr:spPr>
        <a:xfrm>
          <a:off x="11603085" y="16389530"/>
          <a:ext cx="5942801" cy="1859280"/>
        </a:xfrm>
        <a:prstGeom prst="rect">
          <a:avLst/>
        </a:prstGeom>
      </xdr:spPr>
    </xdr:pic>
    <xdr:clientData/>
  </xdr:twoCellAnchor>
  <xdr:twoCellAnchor editAs="absolute">
    <xdr:from>
      <xdr:col>9</xdr:col>
      <xdr:colOff>643734</xdr:colOff>
      <xdr:row>95</xdr:row>
      <xdr:rowOff>55554</xdr:rowOff>
    </xdr:from>
    <xdr:to>
      <xdr:col>12</xdr:col>
      <xdr:colOff>625148</xdr:colOff>
      <xdr:row>107</xdr:row>
      <xdr:rowOff>58371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CF3C56EC-C6C6-40EB-B1C0-114A525DA7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1643" r="9035"/>
        <a:stretch>
          <a:fillRect/>
        </a:stretch>
      </xdr:blipFill>
      <xdr:spPr>
        <a:xfrm>
          <a:off x="12363294" y="18785514"/>
          <a:ext cx="4347674" cy="2243097"/>
        </a:xfrm>
        <a:prstGeom prst="rect">
          <a:avLst/>
        </a:prstGeom>
      </xdr:spPr>
    </xdr:pic>
    <xdr:clientData/>
  </xdr:twoCellAnchor>
  <xdr:twoCellAnchor editAs="absolute">
    <xdr:from>
      <xdr:col>8</xdr:col>
      <xdr:colOff>838198</xdr:colOff>
      <xdr:row>107</xdr:row>
      <xdr:rowOff>119744</xdr:rowOff>
    </xdr:from>
    <xdr:to>
      <xdr:col>13</xdr:col>
      <xdr:colOff>84342</xdr:colOff>
      <xdr:row>118</xdr:row>
      <xdr:rowOff>69808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C4A7DD0A-78F3-46C4-8DAC-4AE305485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02338" y="21089984"/>
          <a:ext cx="6713744" cy="1961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D6DF3D7-A9A2-4C53-A3CC-2F0A5E4D7D01}">
  <we:reference id="wa200005271" version="2.5.5.0" store="ru-RU" storeType="OMEX"/>
  <we:alternateReferences>
    <we:reference id="wa200005271" version="2.5.5.0" store="wa200005271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29E0A-88C6-41E1-A77F-172A6B328FE9}">
  <sheetPr>
    <tabColor theme="5"/>
  </sheetPr>
  <dimension ref="A1:AM84"/>
  <sheetViews>
    <sheetView tabSelected="1" zoomScale="87" zoomScaleNormal="87" workbookViewId="0">
      <selection activeCell="B1" sqref="B1:P1"/>
    </sheetView>
  </sheetViews>
  <sheetFormatPr defaultColWidth="7.85546875" defaultRowHeight="12.75" x14ac:dyDescent="0.25"/>
  <cols>
    <col min="1" max="1" width="3" style="7" customWidth="1"/>
    <col min="2" max="2" width="3.42578125" style="7" customWidth="1"/>
    <col min="3" max="3" width="11.140625" style="7" customWidth="1"/>
    <col min="4" max="16" width="9" style="7" customWidth="1"/>
    <col min="17" max="17" width="3" style="7" customWidth="1"/>
    <col min="18" max="18" width="4.7109375" style="7" customWidth="1"/>
    <col min="19" max="19" width="11.140625" style="7" customWidth="1"/>
    <col min="20" max="26" width="9" style="7" customWidth="1"/>
    <col min="27" max="27" width="10.42578125" style="7" customWidth="1"/>
    <col min="28" max="32" width="9" style="7" customWidth="1"/>
    <col min="33" max="33" width="3.5703125" style="7" customWidth="1"/>
    <col min="34" max="37" width="10.140625" style="7" customWidth="1"/>
    <col min="38" max="38" width="12" style="7" customWidth="1"/>
    <col min="39" max="16384" width="7.85546875" style="7"/>
  </cols>
  <sheetData>
    <row r="1" spans="1:39" ht="28.9" customHeight="1" x14ac:dyDescent="0.25">
      <c r="A1" s="57"/>
      <c r="B1" s="507" t="s">
        <v>87</v>
      </c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467"/>
      <c r="R1" s="507" t="s">
        <v>150</v>
      </c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468"/>
    </row>
    <row r="2" spans="1:39" ht="21.75" customHeight="1" x14ac:dyDescent="0.25">
      <c r="A2" s="57"/>
      <c r="B2" s="508" t="s">
        <v>370</v>
      </c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467"/>
      <c r="R2" s="508" t="s">
        <v>371</v>
      </c>
      <c r="S2" s="508"/>
      <c r="T2" s="508"/>
      <c r="U2" s="508"/>
      <c r="V2" s="508"/>
      <c r="W2" s="508"/>
      <c r="X2" s="508"/>
      <c r="Y2" s="508"/>
      <c r="Z2" s="508"/>
      <c r="AA2" s="508"/>
      <c r="AB2" s="508"/>
      <c r="AC2" s="508"/>
      <c r="AD2" s="508"/>
      <c r="AE2" s="508"/>
      <c r="AF2" s="508"/>
      <c r="AG2" s="469"/>
    </row>
    <row r="3" spans="1:39" s="18" customFormat="1" ht="15.75" x14ac:dyDescent="0.25">
      <c r="A3" s="57"/>
      <c r="B3" s="470"/>
      <c r="C3" s="505" t="s">
        <v>53</v>
      </c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467"/>
      <c r="R3" s="471"/>
      <c r="S3" s="505" t="s">
        <v>53</v>
      </c>
      <c r="T3" s="505"/>
      <c r="U3" s="505"/>
      <c r="V3" s="505"/>
      <c r="W3" s="505"/>
      <c r="X3" s="505"/>
      <c r="Y3" s="505"/>
      <c r="Z3" s="505"/>
      <c r="AA3" s="505"/>
      <c r="AB3" s="505"/>
      <c r="AC3" s="505"/>
      <c r="AD3" s="505"/>
      <c r="AE3" s="505"/>
      <c r="AF3" s="505"/>
      <c r="AG3" s="17"/>
    </row>
    <row r="4" spans="1:39" s="18" customFormat="1" ht="15.75" x14ac:dyDescent="0.25">
      <c r="A4" s="57"/>
      <c r="B4" s="470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467"/>
      <c r="R4" s="471"/>
      <c r="S4" s="505"/>
      <c r="T4" s="505"/>
      <c r="U4" s="505"/>
      <c r="V4" s="505"/>
      <c r="W4" s="505"/>
      <c r="X4" s="505"/>
      <c r="Y4" s="505"/>
      <c r="Z4" s="505"/>
      <c r="AA4" s="505"/>
      <c r="AB4" s="505"/>
      <c r="AC4" s="505"/>
      <c r="AD4" s="505"/>
      <c r="AE4" s="505"/>
      <c r="AF4" s="505"/>
      <c r="AG4" s="17"/>
    </row>
    <row r="5" spans="1:39" ht="15" customHeight="1" x14ac:dyDescent="0.2">
      <c r="A5" s="57"/>
      <c r="B5" s="506" t="s">
        <v>141</v>
      </c>
      <c r="C5" s="472"/>
      <c r="D5" s="473" t="s">
        <v>42</v>
      </c>
      <c r="E5" s="473" t="s">
        <v>43</v>
      </c>
      <c r="F5" s="473" t="s">
        <v>44</v>
      </c>
      <c r="G5" s="473" t="s">
        <v>45</v>
      </c>
      <c r="H5" s="473" t="s">
        <v>46</v>
      </c>
      <c r="I5" s="473" t="s">
        <v>47</v>
      </c>
      <c r="J5" s="473" t="s">
        <v>48</v>
      </c>
      <c r="K5" s="474" t="s">
        <v>372</v>
      </c>
      <c r="L5" s="474" t="s">
        <v>373</v>
      </c>
      <c r="M5" s="474" t="s">
        <v>374</v>
      </c>
      <c r="N5" s="474" t="s">
        <v>375</v>
      </c>
      <c r="O5" s="474" t="s">
        <v>376</v>
      </c>
      <c r="P5" s="474" t="s">
        <v>377</v>
      </c>
      <c r="Q5" s="467"/>
      <c r="R5" s="506" t="s">
        <v>141</v>
      </c>
      <c r="S5" s="472"/>
      <c r="T5" s="475"/>
      <c r="U5" s="475"/>
      <c r="V5" s="475"/>
      <c r="W5" s="475"/>
      <c r="X5" s="475"/>
      <c r="Y5" s="475"/>
      <c r="Z5" s="475"/>
      <c r="AA5" s="475"/>
      <c r="AB5" s="475"/>
      <c r="AC5" s="475"/>
      <c r="AD5" s="475"/>
      <c r="AE5" s="475"/>
      <c r="AF5" s="475"/>
      <c r="AM5" s="476"/>
    </row>
    <row r="6" spans="1:39" x14ac:dyDescent="0.2">
      <c r="A6" s="58"/>
      <c r="B6" s="506"/>
      <c r="C6" s="472" t="s">
        <v>55</v>
      </c>
      <c r="D6" s="477">
        <v>35300</v>
      </c>
      <c r="E6" s="477">
        <v>39700</v>
      </c>
      <c r="F6" s="477">
        <v>44100</v>
      </c>
      <c r="G6" s="477">
        <v>48500</v>
      </c>
      <c r="H6" s="477">
        <v>52900</v>
      </c>
      <c r="I6" s="477">
        <v>57300</v>
      </c>
      <c r="J6" s="477">
        <v>61700</v>
      </c>
      <c r="K6" s="478">
        <v>66100</v>
      </c>
      <c r="L6" s="478">
        <v>70500</v>
      </c>
      <c r="M6" s="478">
        <v>74900</v>
      </c>
      <c r="N6" s="478">
        <v>79300</v>
      </c>
      <c r="O6" s="478">
        <v>83700</v>
      </c>
      <c r="P6" s="478">
        <v>88100</v>
      </c>
      <c r="Q6" s="479"/>
      <c r="R6" s="506"/>
      <c r="S6" s="480"/>
      <c r="T6" s="475"/>
      <c r="U6" s="475"/>
      <c r="V6" s="475"/>
      <c r="W6" s="475"/>
      <c r="X6" s="475"/>
      <c r="Y6" s="475"/>
      <c r="Z6" s="475"/>
      <c r="AA6" s="475"/>
      <c r="AB6" s="475"/>
      <c r="AC6" s="475"/>
      <c r="AD6" s="475"/>
      <c r="AE6" s="475"/>
      <c r="AF6" s="475"/>
      <c r="AM6" s="476"/>
    </row>
    <row r="7" spans="1:39" x14ac:dyDescent="0.2">
      <c r="A7" s="58"/>
      <c r="B7" s="506"/>
      <c r="C7" s="481" t="s">
        <v>56</v>
      </c>
      <c r="D7" s="477">
        <v>39700</v>
      </c>
      <c r="E7" s="477">
        <v>44100</v>
      </c>
      <c r="F7" s="477">
        <v>48500</v>
      </c>
      <c r="G7" s="477">
        <v>52900</v>
      </c>
      <c r="H7" s="477">
        <v>57300</v>
      </c>
      <c r="I7" s="477">
        <v>61700</v>
      </c>
      <c r="J7" s="477">
        <v>66100</v>
      </c>
      <c r="K7" s="478">
        <v>70500</v>
      </c>
      <c r="L7" s="478">
        <v>74900</v>
      </c>
      <c r="M7" s="478">
        <v>79300</v>
      </c>
      <c r="N7" s="478">
        <v>83700</v>
      </c>
      <c r="O7" s="478">
        <v>88100</v>
      </c>
      <c r="P7" s="478">
        <v>92500</v>
      </c>
      <c r="Q7" s="479"/>
      <c r="R7" s="506"/>
      <c r="S7" s="480"/>
      <c r="T7" s="473" t="s">
        <v>42</v>
      </c>
      <c r="U7" s="473" t="s">
        <v>43</v>
      </c>
      <c r="V7" s="473" t="s">
        <v>44</v>
      </c>
      <c r="W7" s="473" t="s">
        <v>45</v>
      </c>
      <c r="X7" s="473" t="s">
        <v>46</v>
      </c>
      <c r="Y7" s="473" t="s">
        <v>47</v>
      </c>
      <c r="Z7" s="473" t="s">
        <v>48</v>
      </c>
      <c r="AA7" s="474" t="s">
        <v>372</v>
      </c>
      <c r="AB7" s="474" t="s">
        <v>373</v>
      </c>
      <c r="AC7" s="474" t="s">
        <v>374</v>
      </c>
      <c r="AD7" s="474" t="s">
        <v>375</v>
      </c>
      <c r="AE7" s="474" t="s">
        <v>376</v>
      </c>
      <c r="AF7" s="474" t="s">
        <v>377</v>
      </c>
      <c r="AM7" s="476"/>
    </row>
    <row r="8" spans="1:39" x14ac:dyDescent="0.25">
      <c r="A8" s="58"/>
      <c r="B8" s="506"/>
      <c r="C8" s="481" t="s">
        <v>57</v>
      </c>
      <c r="D8" s="477">
        <v>44100</v>
      </c>
      <c r="E8" s="477">
        <v>48500</v>
      </c>
      <c r="F8" s="477">
        <v>52900</v>
      </c>
      <c r="G8" s="477">
        <v>57300</v>
      </c>
      <c r="H8" s="477">
        <v>61700</v>
      </c>
      <c r="I8" s="477">
        <v>66100</v>
      </c>
      <c r="J8" s="477">
        <v>70500</v>
      </c>
      <c r="K8" s="478">
        <v>74900</v>
      </c>
      <c r="L8" s="478">
        <v>79300</v>
      </c>
      <c r="M8" s="478">
        <v>83700</v>
      </c>
      <c r="N8" s="478">
        <v>88100</v>
      </c>
      <c r="O8" s="478">
        <v>92500</v>
      </c>
      <c r="P8" s="478">
        <v>96900</v>
      </c>
      <c r="Q8" s="479"/>
      <c r="R8" s="506"/>
      <c r="S8" s="481" t="s">
        <v>154</v>
      </c>
      <c r="T8" s="477">
        <v>50800</v>
      </c>
      <c r="U8" s="477">
        <v>55900</v>
      </c>
      <c r="V8" s="477">
        <v>61000</v>
      </c>
      <c r="W8" s="477">
        <v>66100</v>
      </c>
      <c r="X8" s="477">
        <v>71200</v>
      </c>
      <c r="Y8" s="477">
        <v>76300</v>
      </c>
      <c r="Z8" s="477">
        <v>81400</v>
      </c>
      <c r="AA8" s="478">
        <v>86500</v>
      </c>
      <c r="AB8" s="478">
        <v>91600</v>
      </c>
      <c r="AC8" s="478">
        <v>96700</v>
      </c>
      <c r="AD8" s="478">
        <v>101800</v>
      </c>
      <c r="AE8" s="478">
        <v>106900</v>
      </c>
      <c r="AF8" s="478">
        <v>112000</v>
      </c>
      <c r="AM8" s="476"/>
    </row>
    <row r="9" spans="1:39" x14ac:dyDescent="0.25">
      <c r="A9" s="58"/>
      <c r="B9" s="506"/>
      <c r="C9" s="481" t="s">
        <v>58</v>
      </c>
      <c r="D9" s="477">
        <v>48500</v>
      </c>
      <c r="E9" s="477">
        <v>52900</v>
      </c>
      <c r="F9" s="477">
        <v>57300</v>
      </c>
      <c r="G9" s="477">
        <v>61700</v>
      </c>
      <c r="H9" s="477">
        <v>66100</v>
      </c>
      <c r="I9" s="477">
        <v>70500</v>
      </c>
      <c r="J9" s="477">
        <v>74900</v>
      </c>
      <c r="K9" s="478">
        <v>79300</v>
      </c>
      <c r="L9" s="478">
        <v>83700</v>
      </c>
      <c r="M9" s="478">
        <v>88100</v>
      </c>
      <c r="N9" s="478">
        <v>92500</v>
      </c>
      <c r="O9" s="478">
        <v>96900</v>
      </c>
      <c r="P9" s="478">
        <v>101300</v>
      </c>
      <c r="Q9" s="479"/>
      <c r="R9" s="506"/>
      <c r="S9" s="481" t="s">
        <v>58</v>
      </c>
      <c r="T9" s="477">
        <v>55900</v>
      </c>
      <c r="U9" s="477">
        <v>61000</v>
      </c>
      <c r="V9" s="477">
        <v>66100</v>
      </c>
      <c r="W9" s="477">
        <v>71200</v>
      </c>
      <c r="X9" s="477">
        <v>76300</v>
      </c>
      <c r="Y9" s="477">
        <v>81400</v>
      </c>
      <c r="Z9" s="477">
        <v>86500</v>
      </c>
      <c r="AA9" s="478">
        <v>91600</v>
      </c>
      <c r="AB9" s="478">
        <v>96700</v>
      </c>
      <c r="AC9" s="478">
        <v>101800</v>
      </c>
      <c r="AD9" s="478">
        <v>106900</v>
      </c>
      <c r="AE9" s="478">
        <v>112000</v>
      </c>
      <c r="AF9" s="478">
        <v>117100</v>
      </c>
      <c r="AM9" s="476"/>
    </row>
    <row r="10" spans="1:39" x14ac:dyDescent="0.25">
      <c r="A10" s="58"/>
      <c r="B10" s="506"/>
      <c r="C10" s="481" t="s">
        <v>59</v>
      </c>
      <c r="D10" s="477">
        <v>52900</v>
      </c>
      <c r="E10" s="477">
        <v>57300</v>
      </c>
      <c r="F10" s="477">
        <v>61700</v>
      </c>
      <c r="G10" s="477">
        <v>66100</v>
      </c>
      <c r="H10" s="477">
        <v>70500</v>
      </c>
      <c r="I10" s="477">
        <v>74900</v>
      </c>
      <c r="J10" s="477">
        <v>79300</v>
      </c>
      <c r="K10" s="478">
        <v>83700</v>
      </c>
      <c r="L10" s="478">
        <v>88100</v>
      </c>
      <c r="M10" s="478">
        <v>92500</v>
      </c>
      <c r="N10" s="478">
        <v>96900</v>
      </c>
      <c r="O10" s="478">
        <v>101300</v>
      </c>
      <c r="P10" s="478">
        <v>105700</v>
      </c>
      <c r="Q10" s="479"/>
      <c r="R10" s="506"/>
      <c r="S10" s="481" t="s">
        <v>59</v>
      </c>
      <c r="T10" s="477">
        <v>61000</v>
      </c>
      <c r="U10" s="477">
        <v>66100</v>
      </c>
      <c r="V10" s="477">
        <v>71200</v>
      </c>
      <c r="W10" s="477">
        <v>76300</v>
      </c>
      <c r="X10" s="477">
        <v>81400</v>
      </c>
      <c r="Y10" s="477">
        <v>86500</v>
      </c>
      <c r="Z10" s="477">
        <v>91600</v>
      </c>
      <c r="AA10" s="478">
        <v>96700</v>
      </c>
      <c r="AB10" s="478">
        <v>101800</v>
      </c>
      <c r="AC10" s="478">
        <v>106900</v>
      </c>
      <c r="AD10" s="478">
        <v>112000</v>
      </c>
      <c r="AE10" s="478">
        <v>117100</v>
      </c>
      <c r="AF10" s="478">
        <v>122200</v>
      </c>
      <c r="AM10" s="476"/>
    </row>
    <row r="11" spans="1:39" x14ac:dyDescent="0.25">
      <c r="A11" s="58"/>
      <c r="B11" s="506"/>
      <c r="C11" s="481" t="s">
        <v>60</v>
      </c>
      <c r="D11" s="477">
        <v>57300</v>
      </c>
      <c r="E11" s="477">
        <v>61700</v>
      </c>
      <c r="F11" s="477">
        <v>66100</v>
      </c>
      <c r="G11" s="477">
        <v>70500</v>
      </c>
      <c r="H11" s="477">
        <v>74900</v>
      </c>
      <c r="I11" s="477">
        <v>79300</v>
      </c>
      <c r="J11" s="477">
        <v>83700</v>
      </c>
      <c r="K11" s="478">
        <v>88100</v>
      </c>
      <c r="L11" s="478">
        <v>92500</v>
      </c>
      <c r="M11" s="478">
        <v>96900</v>
      </c>
      <c r="N11" s="478">
        <v>101300</v>
      </c>
      <c r="O11" s="478">
        <v>105700</v>
      </c>
      <c r="P11" s="478">
        <v>110100</v>
      </c>
      <c r="Q11" s="479"/>
      <c r="R11" s="506"/>
      <c r="S11" s="481" t="s">
        <v>60</v>
      </c>
      <c r="T11" s="477">
        <v>66100</v>
      </c>
      <c r="U11" s="477">
        <v>71200</v>
      </c>
      <c r="V11" s="477">
        <v>76300</v>
      </c>
      <c r="W11" s="477">
        <v>81400</v>
      </c>
      <c r="X11" s="477">
        <v>86500</v>
      </c>
      <c r="Y11" s="477">
        <v>91600</v>
      </c>
      <c r="Z11" s="477">
        <v>96700</v>
      </c>
      <c r="AA11" s="478">
        <v>101800</v>
      </c>
      <c r="AB11" s="478">
        <v>106900</v>
      </c>
      <c r="AC11" s="478">
        <v>112000</v>
      </c>
      <c r="AD11" s="478">
        <v>117100</v>
      </c>
      <c r="AE11" s="478">
        <v>122200</v>
      </c>
      <c r="AF11" s="478">
        <v>127300</v>
      </c>
      <c r="AM11" s="476"/>
    </row>
    <row r="12" spans="1:39" x14ac:dyDescent="0.25">
      <c r="A12" s="58"/>
      <c r="B12" s="506"/>
      <c r="C12" s="481" t="s">
        <v>61</v>
      </c>
      <c r="D12" s="477">
        <v>61700</v>
      </c>
      <c r="E12" s="477">
        <v>66100</v>
      </c>
      <c r="F12" s="477">
        <v>70500</v>
      </c>
      <c r="G12" s="477">
        <v>74900</v>
      </c>
      <c r="H12" s="477">
        <v>79300</v>
      </c>
      <c r="I12" s="477">
        <v>83700</v>
      </c>
      <c r="J12" s="477">
        <v>88100</v>
      </c>
      <c r="K12" s="478">
        <v>92500</v>
      </c>
      <c r="L12" s="478">
        <v>96900</v>
      </c>
      <c r="M12" s="478">
        <v>101300</v>
      </c>
      <c r="N12" s="478">
        <v>105700</v>
      </c>
      <c r="O12" s="478">
        <v>110100</v>
      </c>
      <c r="P12" s="478">
        <v>114500</v>
      </c>
      <c r="Q12" s="479"/>
      <c r="R12" s="506"/>
      <c r="S12" s="481" t="s">
        <v>61</v>
      </c>
      <c r="T12" s="477">
        <v>71200</v>
      </c>
      <c r="U12" s="477">
        <v>76300</v>
      </c>
      <c r="V12" s="477">
        <v>81400</v>
      </c>
      <c r="W12" s="477">
        <v>86500</v>
      </c>
      <c r="X12" s="477">
        <v>91600</v>
      </c>
      <c r="Y12" s="477">
        <v>96700</v>
      </c>
      <c r="Z12" s="477">
        <v>101800</v>
      </c>
      <c r="AA12" s="478">
        <v>106900</v>
      </c>
      <c r="AB12" s="478">
        <v>112000</v>
      </c>
      <c r="AC12" s="478">
        <v>117100</v>
      </c>
      <c r="AD12" s="478">
        <v>122200</v>
      </c>
      <c r="AE12" s="478">
        <v>127300</v>
      </c>
      <c r="AF12" s="478">
        <v>132400</v>
      </c>
      <c r="AM12" s="476"/>
    </row>
    <row r="13" spans="1:39" x14ac:dyDescent="0.25">
      <c r="A13" s="58"/>
      <c r="B13" s="506"/>
      <c r="C13" s="481" t="s">
        <v>62</v>
      </c>
      <c r="D13" s="477">
        <v>66100</v>
      </c>
      <c r="E13" s="477">
        <v>70500</v>
      </c>
      <c r="F13" s="477">
        <v>74900</v>
      </c>
      <c r="G13" s="477">
        <v>79300</v>
      </c>
      <c r="H13" s="477">
        <v>83700</v>
      </c>
      <c r="I13" s="477">
        <v>88100</v>
      </c>
      <c r="J13" s="477">
        <v>92500</v>
      </c>
      <c r="K13" s="478">
        <v>96900</v>
      </c>
      <c r="L13" s="478">
        <v>101300</v>
      </c>
      <c r="M13" s="478">
        <v>105700</v>
      </c>
      <c r="N13" s="478">
        <v>110100</v>
      </c>
      <c r="O13" s="478">
        <v>114500</v>
      </c>
      <c r="P13" s="478">
        <v>118900</v>
      </c>
      <c r="Q13" s="479"/>
      <c r="R13" s="506"/>
      <c r="S13" s="481" t="s">
        <v>62</v>
      </c>
      <c r="T13" s="477">
        <v>76300</v>
      </c>
      <c r="U13" s="477">
        <v>81400</v>
      </c>
      <c r="V13" s="477">
        <v>86500</v>
      </c>
      <c r="W13" s="477">
        <v>91600</v>
      </c>
      <c r="X13" s="477">
        <v>96700</v>
      </c>
      <c r="Y13" s="477">
        <v>101800</v>
      </c>
      <c r="Z13" s="477">
        <v>106900</v>
      </c>
      <c r="AA13" s="478">
        <v>112000</v>
      </c>
      <c r="AB13" s="478">
        <v>117100</v>
      </c>
      <c r="AC13" s="478">
        <v>122200</v>
      </c>
      <c r="AD13" s="478">
        <v>127300</v>
      </c>
      <c r="AE13" s="478">
        <v>132400</v>
      </c>
      <c r="AF13" s="478">
        <v>137500</v>
      </c>
      <c r="AM13" s="476"/>
    </row>
    <row r="14" spans="1:39" x14ac:dyDescent="0.25">
      <c r="A14" s="58"/>
      <c r="B14" s="506"/>
      <c r="C14" s="481" t="s">
        <v>63</v>
      </c>
      <c r="D14" s="477">
        <v>70500</v>
      </c>
      <c r="E14" s="477">
        <v>74900</v>
      </c>
      <c r="F14" s="477">
        <v>79300</v>
      </c>
      <c r="G14" s="477">
        <v>83700</v>
      </c>
      <c r="H14" s="477">
        <v>88100</v>
      </c>
      <c r="I14" s="477">
        <v>92500</v>
      </c>
      <c r="J14" s="477">
        <v>96900</v>
      </c>
      <c r="K14" s="478">
        <v>101300</v>
      </c>
      <c r="L14" s="478">
        <v>105700</v>
      </c>
      <c r="M14" s="478">
        <v>110100</v>
      </c>
      <c r="N14" s="478">
        <v>114500</v>
      </c>
      <c r="O14" s="478">
        <v>118900</v>
      </c>
      <c r="P14" s="478">
        <v>123300</v>
      </c>
      <c r="Q14" s="479"/>
      <c r="R14" s="506"/>
      <c r="S14" s="481" t="s">
        <v>63</v>
      </c>
      <c r="T14" s="477">
        <v>81400</v>
      </c>
      <c r="U14" s="477">
        <v>86500</v>
      </c>
      <c r="V14" s="477">
        <v>91600</v>
      </c>
      <c r="W14" s="477">
        <v>96700</v>
      </c>
      <c r="X14" s="477">
        <v>101800</v>
      </c>
      <c r="Y14" s="477">
        <v>106900</v>
      </c>
      <c r="Z14" s="477">
        <v>112000</v>
      </c>
      <c r="AA14" s="478">
        <v>117100</v>
      </c>
      <c r="AB14" s="478">
        <v>122200</v>
      </c>
      <c r="AC14" s="478">
        <v>127300</v>
      </c>
      <c r="AD14" s="478">
        <v>132400</v>
      </c>
      <c r="AE14" s="478">
        <v>137500</v>
      </c>
      <c r="AF14" s="478">
        <v>142600</v>
      </c>
      <c r="AM14" s="476"/>
    </row>
    <row r="15" spans="1:39" x14ac:dyDescent="0.25">
      <c r="A15" s="58"/>
      <c r="B15" s="506"/>
      <c r="C15" s="481" t="s">
        <v>64</v>
      </c>
      <c r="D15" s="477">
        <v>74900</v>
      </c>
      <c r="E15" s="477">
        <v>79300</v>
      </c>
      <c r="F15" s="477">
        <v>83700</v>
      </c>
      <c r="G15" s="477">
        <v>88100</v>
      </c>
      <c r="H15" s="477">
        <v>92500</v>
      </c>
      <c r="I15" s="477">
        <v>96900</v>
      </c>
      <c r="J15" s="477">
        <v>101300</v>
      </c>
      <c r="K15" s="478">
        <v>105700</v>
      </c>
      <c r="L15" s="478">
        <v>110100</v>
      </c>
      <c r="M15" s="478">
        <v>114500</v>
      </c>
      <c r="N15" s="478">
        <v>118900</v>
      </c>
      <c r="O15" s="478">
        <v>123300</v>
      </c>
      <c r="P15" s="478">
        <v>127700</v>
      </c>
      <c r="Q15" s="479"/>
      <c r="R15" s="506"/>
      <c r="S15" s="481" t="s">
        <v>64</v>
      </c>
      <c r="T15" s="477">
        <v>86500</v>
      </c>
      <c r="U15" s="477">
        <v>91600</v>
      </c>
      <c r="V15" s="477">
        <v>96700</v>
      </c>
      <c r="W15" s="477">
        <v>101800</v>
      </c>
      <c r="X15" s="477">
        <v>106900</v>
      </c>
      <c r="Y15" s="477">
        <v>112000</v>
      </c>
      <c r="Z15" s="477">
        <v>117100</v>
      </c>
      <c r="AA15" s="478">
        <v>122200</v>
      </c>
      <c r="AB15" s="478">
        <v>127300</v>
      </c>
      <c r="AC15" s="478">
        <v>132400</v>
      </c>
      <c r="AD15" s="478">
        <v>137500</v>
      </c>
      <c r="AE15" s="478">
        <v>142600</v>
      </c>
      <c r="AF15" s="478">
        <v>147700</v>
      </c>
      <c r="AM15" s="476"/>
    </row>
    <row r="16" spans="1:39" x14ac:dyDescent="0.25">
      <c r="A16" s="58"/>
      <c r="B16" s="506"/>
      <c r="C16" s="481" t="s">
        <v>65</v>
      </c>
      <c r="D16" s="477">
        <v>79300</v>
      </c>
      <c r="E16" s="477">
        <v>83700</v>
      </c>
      <c r="F16" s="477">
        <v>88100</v>
      </c>
      <c r="G16" s="477">
        <v>92500</v>
      </c>
      <c r="H16" s="477">
        <v>96900</v>
      </c>
      <c r="I16" s="477">
        <v>101300</v>
      </c>
      <c r="J16" s="477">
        <v>105700</v>
      </c>
      <c r="K16" s="478">
        <v>110100</v>
      </c>
      <c r="L16" s="478">
        <v>114500</v>
      </c>
      <c r="M16" s="478">
        <v>118900</v>
      </c>
      <c r="N16" s="478">
        <v>123300</v>
      </c>
      <c r="O16" s="478">
        <v>127700</v>
      </c>
      <c r="P16" s="478">
        <v>132100</v>
      </c>
      <c r="Q16" s="479"/>
      <c r="R16" s="506"/>
      <c r="S16" s="481" t="s">
        <v>65</v>
      </c>
      <c r="T16" s="477">
        <v>91600</v>
      </c>
      <c r="U16" s="477">
        <v>96700</v>
      </c>
      <c r="V16" s="477">
        <v>101800</v>
      </c>
      <c r="W16" s="477">
        <v>106900</v>
      </c>
      <c r="X16" s="477">
        <v>112000</v>
      </c>
      <c r="Y16" s="477">
        <v>117100</v>
      </c>
      <c r="Z16" s="477">
        <v>122200</v>
      </c>
      <c r="AA16" s="478">
        <v>127300</v>
      </c>
      <c r="AB16" s="478">
        <v>132400</v>
      </c>
      <c r="AC16" s="478">
        <v>137500</v>
      </c>
      <c r="AD16" s="478">
        <v>142600</v>
      </c>
      <c r="AE16" s="478">
        <v>147700</v>
      </c>
      <c r="AF16" s="478">
        <v>152800</v>
      </c>
      <c r="AM16" s="476"/>
    </row>
    <row r="17" spans="1:39" x14ac:dyDescent="0.25">
      <c r="A17" s="58"/>
      <c r="B17" s="506"/>
      <c r="C17" s="481" t="s">
        <v>66</v>
      </c>
      <c r="D17" s="477">
        <v>83700</v>
      </c>
      <c r="E17" s="477">
        <v>88100</v>
      </c>
      <c r="F17" s="477">
        <v>92500</v>
      </c>
      <c r="G17" s="477">
        <v>96900</v>
      </c>
      <c r="H17" s="477">
        <v>101300</v>
      </c>
      <c r="I17" s="477">
        <v>105700</v>
      </c>
      <c r="J17" s="477">
        <v>110100</v>
      </c>
      <c r="K17" s="478">
        <v>114500</v>
      </c>
      <c r="L17" s="478">
        <v>118900</v>
      </c>
      <c r="M17" s="478">
        <v>123300</v>
      </c>
      <c r="N17" s="478">
        <v>127700</v>
      </c>
      <c r="O17" s="478">
        <v>132100</v>
      </c>
      <c r="P17" s="478">
        <v>136500</v>
      </c>
      <c r="Q17" s="479"/>
      <c r="R17" s="506"/>
      <c r="S17" s="481" t="s">
        <v>66</v>
      </c>
      <c r="T17" s="477">
        <v>96700</v>
      </c>
      <c r="U17" s="477">
        <v>101800</v>
      </c>
      <c r="V17" s="477">
        <v>106900</v>
      </c>
      <c r="W17" s="477">
        <v>112000</v>
      </c>
      <c r="X17" s="477">
        <v>117100</v>
      </c>
      <c r="Y17" s="477">
        <v>122200</v>
      </c>
      <c r="Z17" s="477">
        <v>127300</v>
      </c>
      <c r="AA17" s="478">
        <v>132400</v>
      </c>
      <c r="AB17" s="478">
        <v>137500</v>
      </c>
      <c r="AC17" s="478">
        <v>142600</v>
      </c>
      <c r="AD17" s="478">
        <v>147700</v>
      </c>
      <c r="AE17" s="478">
        <v>152800</v>
      </c>
      <c r="AF17" s="478">
        <v>157900</v>
      </c>
      <c r="AM17" s="476"/>
    </row>
    <row r="18" spans="1:39" x14ac:dyDescent="0.25">
      <c r="A18" s="58"/>
      <c r="B18" s="506"/>
      <c r="C18" s="481" t="s">
        <v>67</v>
      </c>
      <c r="D18" s="477">
        <v>88100</v>
      </c>
      <c r="E18" s="477">
        <v>92500</v>
      </c>
      <c r="F18" s="477">
        <v>96900</v>
      </c>
      <c r="G18" s="477">
        <v>101300</v>
      </c>
      <c r="H18" s="477">
        <v>105700</v>
      </c>
      <c r="I18" s="477">
        <v>110100</v>
      </c>
      <c r="J18" s="477">
        <v>114500</v>
      </c>
      <c r="K18" s="478">
        <v>118900</v>
      </c>
      <c r="L18" s="478">
        <v>123300</v>
      </c>
      <c r="M18" s="478">
        <v>127700</v>
      </c>
      <c r="N18" s="478">
        <v>132100</v>
      </c>
      <c r="O18" s="478">
        <v>136500</v>
      </c>
      <c r="P18" s="478">
        <v>140900</v>
      </c>
      <c r="Q18" s="479"/>
      <c r="R18" s="506"/>
      <c r="S18" s="481" t="s">
        <v>67</v>
      </c>
      <c r="T18" s="477">
        <v>101800</v>
      </c>
      <c r="U18" s="477">
        <v>106900</v>
      </c>
      <c r="V18" s="477">
        <v>112000</v>
      </c>
      <c r="W18" s="477">
        <v>117100</v>
      </c>
      <c r="X18" s="477">
        <v>122200</v>
      </c>
      <c r="Y18" s="477">
        <v>127300</v>
      </c>
      <c r="Z18" s="477">
        <v>132400</v>
      </c>
      <c r="AA18" s="478">
        <v>137500</v>
      </c>
      <c r="AB18" s="478">
        <v>142600</v>
      </c>
      <c r="AC18" s="478">
        <v>147700</v>
      </c>
      <c r="AD18" s="478">
        <v>152800</v>
      </c>
      <c r="AE18" s="478">
        <v>157900</v>
      </c>
      <c r="AF18" s="478">
        <v>163000</v>
      </c>
      <c r="AM18" s="476"/>
    </row>
    <row r="19" spans="1:39" x14ac:dyDescent="0.25">
      <c r="A19" s="58"/>
      <c r="B19" s="506"/>
      <c r="C19" s="481" t="s">
        <v>68</v>
      </c>
      <c r="D19" s="477">
        <v>92500</v>
      </c>
      <c r="E19" s="477">
        <v>96900</v>
      </c>
      <c r="F19" s="477">
        <v>101300</v>
      </c>
      <c r="G19" s="477">
        <v>105700</v>
      </c>
      <c r="H19" s="477">
        <v>110100</v>
      </c>
      <c r="I19" s="477">
        <v>114500</v>
      </c>
      <c r="J19" s="477">
        <v>118900</v>
      </c>
      <c r="K19" s="478">
        <v>123300</v>
      </c>
      <c r="L19" s="478">
        <v>127700</v>
      </c>
      <c r="M19" s="478">
        <v>132100</v>
      </c>
      <c r="N19" s="478">
        <v>136500</v>
      </c>
      <c r="O19" s="478">
        <v>140900</v>
      </c>
      <c r="P19" s="478">
        <v>145300</v>
      </c>
      <c r="Q19" s="479"/>
      <c r="R19" s="506"/>
      <c r="S19" s="481" t="s">
        <v>68</v>
      </c>
      <c r="T19" s="477">
        <v>106900</v>
      </c>
      <c r="U19" s="477">
        <v>112000</v>
      </c>
      <c r="V19" s="477">
        <v>117100</v>
      </c>
      <c r="W19" s="477">
        <v>122200</v>
      </c>
      <c r="X19" s="477">
        <v>127300</v>
      </c>
      <c r="Y19" s="477">
        <v>132400</v>
      </c>
      <c r="Z19" s="477">
        <v>137500</v>
      </c>
      <c r="AA19" s="478">
        <v>142600</v>
      </c>
      <c r="AB19" s="478">
        <v>147700</v>
      </c>
      <c r="AC19" s="478">
        <v>152800</v>
      </c>
      <c r="AD19" s="478">
        <v>157900</v>
      </c>
      <c r="AE19" s="478">
        <v>163000</v>
      </c>
      <c r="AF19" s="478">
        <v>168100</v>
      </c>
      <c r="AM19" s="476"/>
    </row>
    <row r="20" spans="1:39" x14ac:dyDescent="0.25">
      <c r="A20" s="58"/>
      <c r="B20" s="506"/>
      <c r="C20" s="481" t="s">
        <v>69</v>
      </c>
      <c r="D20" s="477">
        <v>96900</v>
      </c>
      <c r="E20" s="477">
        <v>101300</v>
      </c>
      <c r="F20" s="477">
        <v>105700</v>
      </c>
      <c r="G20" s="477">
        <v>110100</v>
      </c>
      <c r="H20" s="477">
        <v>114500</v>
      </c>
      <c r="I20" s="477">
        <v>118900</v>
      </c>
      <c r="J20" s="477">
        <v>123300</v>
      </c>
      <c r="K20" s="478">
        <v>127700</v>
      </c>
      <c r="L20" s="478">
        <v>132100</v>
      </c>
      <c r="M20" s="478">
        <v>136500</v>
      </c>
      <c r="N20" s="478">
        <v>140900</v>
      </c>
      <c r="O20" s="478">
        <v>145300</v>
      </c>
      <c r="P20" s="478">
        <v>149700</v>
      </c>
      <c r="Q20" s="479"/>
      <c r="R20" s="506"/>
      <c r="S20" s="481" t="s">
        <v>69</v>
      </c>
      <c r="T20" s="477">
        <v>112000</v>
      </c>
      <c r="U20" s="477">
        <v>117100</v>
      </c>
      <c r="V20" s="477">
        <v>122200</v>
      </c>
      <c r="W20" s="477">
        <v>127300</v>
      </c>
      <c r="X20" s="477">
        <v>132400</v>
      </c>
      <c r="Y20" s="477">
        <v>137500</v>
      </c>
      <c r="Z20" s="477">
        <v>142600</v>
      </c>
      <c r="AA20" s="478">
        <v>147700</v>
      </c>
      <c r="AB20" s="478">
        <v>152800</v>
      </c>
      <c r="AC20" s="478">
        <v>157900</v>
      </c>
      <c r="AD20" s="478">
        <v>163000</v>
      </c>
      <c r="AE20" s="478">
        <v>168100</v>
      </c>
      <c r="AF20" s="478">
        <v>173200</v>
      </c>
      <c r="AM20" s="476"/>
    </row>
    <row r="21" spans="1:39" x14ac:dyDescent="0.25">
      <c r="A21" s="59"/>
      <c r="B21" s="506"/>
      <c r="C21" s="481" t="s">
        <v>70</v>
      </c>
      <c r="D21" s="477">
        <v>101300</v>
      </c>
      <c r="E21" s="477">
        <v>105700</v>
      </c>
      <c r="F21" s="477">
        <v>110100</v>
      </c>
      <c r="G21" s="477">
        <v>114500</v>
      </c>
      <c r="H21" s="477">
        <v>118900</v>
      </c>
      <c r="I21" s="477">
        <v>123300</v>
      </c>
      <c r="J21" s="477">
        <v>127700</v>
      </c>
      <c r="K21" s="478">
        <v>132100</v>
      </c>
      <c r="L21" s="478">
        <v>136500</v>
      </c>
      <c r="M21" s="478">
        <v>140900</v>
      </c>
      <c r="N21" s="478">
        <v>145300</v>
      </c>
      <c r="O21" s="478">
        <v>149700</v>
      </c>
      <c r="P21" s="478">
        <v>154100</v>
      </c>
      <c r="Q21" s="482"/>
      <c r="R21" s="506"/>
      <c r="S21" s="481" t="s">
        <v>70</v>
      </c>
      <c r="T21" s="477">
        <v>117100</v>
      </c>
      <c r="U21" s="477">
        <v>122200</v>
      </c>
      <c r="V21" s="477">
        <v>127300</v>
      </c>
      <c r="W21" s="477">
        <v>132400</v>
      </c>
      <c r="X21" s="477">
        <v>137500</v>
      </c>
      <c r="Y21" s="477">
        <v>142600</v>
      </c>
      <c r="Z21" s="477">
        <v>147700</v>
      </c>
      <c r="AA21" s="478">
        <v>152800</v>
      </c>
      <c r="AB21" s="478">
        <v>157900</v>
      </c>
      <c r="AC21" s="478">
        <v>163000</v>
      </c>
      <c r="AD21" s="478">
        <v>168100</v>
      </c>
      <c r="AE21" s="478">
        <v>173200</v>
      </c>
      <c r="AF21" s="478">
        <v>178300</v>
      </c>
      <c r="AM21" s="476"/>
    </row>
    <row r="22" spans="1:39" x14ac:dyDescent="0.25">
      <c r="A22" s="59"/>
      <c r="B22" s="506"/>
      <c r="C22" s="481" t="s">
        <v>71</v>
      </c>
      <c r="D22" s="477">
        <v>105700</v>
      </c>
      <c r="E22" s="477">
        <v>110100</v>
      </c>
      <c r="F22" s="477">
        <v>114500</v>
      </c>
      <c r="G22" s="477">
        <v>118900</v>
      </c>
      <c r="H22" s="477">
        <v>123300</v>
      </c>
      <c r="I22" s="477">
        <v>127700</v>
      </c>
      <c r="J22" s="477">
        <v>132100</v>
      </c>
      <c r="K22" s="478">
        <v>136500</v>
      </c>
      <c r="L22" s="478">
        <v>140900</v>
      </c>
      <c r="M22" s="478">
        <v>145300</v>
      </c>
      <c r="N22" s="478">
        <v>149700</v>
      </c>
      <c r="O22" s="478">
        <v>154100</v>
      </c>
      <c r="P22" s="478">
        <v>158500</v>
      </c>
      <c r="Q22" s="482"/>
      <c r="R22" s="506"/>
      <c r="S22" s="481" t="s">
        <v>71</v>
      </c>
      <c r="T22" s="477">
        <v>122200</v>
      </c>
      <c r="U22" s="477">
        <v>127300</v>
      </c>
      <c r="V22" s="477">
        <v>132400</v>
      </c>
      <c r="W22" s="477">
        <v>137500</v>
      </c>
      <c r="X22" s="477">
        <v>142600</v>
      </c>
      <c r="Y22" s="477">
        <v>147700</v>
      </c>
      <c r="Z22" s="477">
        <v>152800</v>
      </c>
      <c r="AA22" s="478">
        <v>157900</v>
      </c>
      <c r="AB22" s="478">
        <v>163000</v>
      </c>
      <c r="AC22" s="478">
        <v>168100</v>
      </c>
      <c r="AD22" s="478">
        <v>173200</v>
      </c>
      <c r="AE22" s="478">
        <v>178300</v>
      </c>
      <c r="AF22" s="478">
        <v>183400</v>
      </c>
      <c r="AM22" s="476"/>
    </row>
    <row r="23" spans="1:39" x14ac:dyDescent="0.25">
      <c r="A23" s="59"/>
      <c r="B23" s="506"/>
      <c r="C23" s="481" t="s">
        <v>72</v>
      </c>
      <c r="D23" s="477">
        <v>110100</v>
      </c>
      <c r="E23" s="477">
        <v>114500</v>
      </c>
      <c r="F23" s="477">
        <v>118900</v>
      </c>
      <c r="G23" s="477">
        <v>123300</v>
      </c>
      <c r="H23" s="477">
        <v>127700</v>
      </c>
      <c r="I23" s="477">
        <v>132100</v>
      </c>
      <c r="J23" s="477">
        <v>136500</v>
      </c>
      <c r="K23" s="478">
        <v>140900</v>
      </c>
      <c r="L23" s="478">
        <v>145300</v>
      </c>
      <c r="M23" s="478">
        <v>149700</v>
      </c>
      <c r="N23" s="478">
        <v>154100</v>
      </c>
      <c r="O23" s="478">
        <v>158500</v>
      </c>
      <c r="P23" s="478">
        <v>162900</v>
      </c>
      <c r="Q23" s="482"/>
      <c r="R23" s="506"/>
      <c r="S23" s="481" t="s">
        <v>72</v>
      </c>
      <c r="T23" s="477">
        <v>127300</v>
      </c>
      <c r="U23" s="477">
        <v>132400</v>
      </c>
      <c r="V23" s="477">
        <v>137500</v>
      </c>
      <c r="W23" s="477">
        <v>142600</v>
      </c>
      <c r="X23" s="477">
        <v>147700</v>
      </c>
      <c r="Y23" s="477">
        <v>152800</v>
      </c>
      <c r="Z23" s="477">
        <v>157900</v>
      </c>
      <c r="AA23" s="478">
        <v>163000</v>
      </c>
      <c r="AB23" s="478">
        <v>168100</v>
      </c>
      <c r="AC23" s="478">
        <v>173200</v>
      </c>
      <c r="AD23" s="478">
        <v>178300</v>
      </c>
      <c r="AE23" s="478">
        <v>183400</v>
      </c>
      <c r="AF23" s="478">
        <v>188500</v>
      </c>
      <c r="AM23" s="476"/>
    </row>
    <row r="24" spans="1:39" x14ac:dyDescent="0.25">
      <c r="A24" s="59"/>
      <c r="B24" s="506"/>
      <c r="C24" s="481" t="s">
        <v>73</v>
      </c>
      <c r="D24" s="477">
        <v>114500</v>
      </c>
      <c r="E24" s="477">
        <v>118900</v>
      </c>
      <c r="F24" s="477">
        <v>123300</v>
      </c>
      <c r="G24" s="477">
        <v>127700</v>
      </c>
      <c r="H24" s="477">
        <v>132100</v>
      </c>
      <c r="I24" s="477">
        <v>136500</v>
      </c>
      <c r="J24" s="477">
        <v>140900</v>
      </c>
      <c r="K24" s="478">
        <v>145300</v>
      </c>
      <c r="L24" s="478">
        <v>149700</v>
      </c>
      <c r="M24" s="478">
        <v>154100</v>
      </c>
      <c r="N24" s="478">
        <v>158500</v>
      </c>
      <c r="O24" s="478">
        <v>162900</v>
      </c>
      <c r="P24" s="478">
        <v>167300</v>
      </c>
      <c r="Q24" s="482"/>
      <c r="R24" s="506"/>
      <c r="S24" s="481" t="s">
        <v>73</v>
      </c>
      <c r="T24" s="477">
        <v>132400</v>
      </c>
      <c r="U24" s="477">
        <v>137500</v>
      </c>
      <c r="V24" s="477">
        <v>142600</v>
      </c>
      <c r="W24" s="477">
        <v>147700</v>
      </c>
      <c r="X24" s="477">
        <v>152800</v>
      </c>
      <c r="Y24" s="477">
        <v>157900</v>
      </c>
      <c r="Z24" s="477">
        <v>163000</v>
      </c>
      <c r="AA24" s="478">
        <v>168100</v>
      </c>
      <c r="AB24" s="478">
        <v>173200</v>
      </c>
      <c r="AC24" s="478">
        <v>178300</v>
      </c>
      <c r="AD24" s="478">
        <v>183400</v>
      </c>
      <c r="AE24" s="478">
        <v>188500</v>
      </c>
      <c r="AF24" s="478">
        <v>193600</v>
      </c>
      <c r="AM24" s="476"/>
    </row>
    <row r="25" spans="1:39" x14ac:dyDescent="0.25">
      <c r="A25" s="59"/>
      <c r="B25" s="506"/>
      <c r="C25" s="481" t="s">
        <v>74</v>
      </c>
      <c r="D25" s="477">
        <v>118900</v>
      </c>
      <c r="E25" s="477">
        <v>123300</v>
      </c>
      <c r="F25" s="477">
        <v>127700</v>
      </c>
      <c r="G25" s="477">
        <v>132100</v>
      </c>
      <c r="H25" s="477">
        <v>136500</v>
      </c>
      <c r="I25" s="477">
        <v>140900</v>
      </c>
      <c r="J25" s="477">
        <v>145300</v>
      </c>
      <c r="K25" s="478">
        <v>149700</v>
      </c>
      <c r="L25" s="478">
        <v>154100</v>
      </c>
      <c r="M25" s="478">
        <v>158500</v>
      </c>
      <c r="N25" s="478">
        <v>162900</v>
      </c>
      <c r="O25" s="478">
        <v>167300</v>
      </c>
      <c r="P25" s="478">
        <v>171700</v>
      </c>
      <c r="Q25" s="482"/>
      <c r="R25" s="506"/>
      <c r="S25" s="481" t="s">
        <v>74</v>
      </c>
      <c r="T25" s="477">
        <v>137500</v>
      </c>
      <c r="U25" s="477">
        <v>142600</v>
      </c>
      <c r="V25" s="477">
        <v>147700</v>
      </c>
      <c r="W25" s="477">
        <v>152800</v>
      </c>
      <c r="X25" s="477">
        <v>157900</v>
      </c>
      <c r="Y25" s="477">
        <v>163000</v>
      </c>
      <c r="Z25" s="477">
        <v>168100</v>
      </c>
      <c r="AA25" s="478">
        <v>173200</v>
      </c>
      <c r="AB25" s="478">
        <v>178300</v>
      </c>
      <c r="AC25" s="478">
        <v>183400</v>
      </c>
      <c r="AD25" s="478">
        <v>188500</v>
      </c>
      <c r="AE25" s="478">
        <v>193600</v>
      </c>
      <c r="AF25" s="478">
        <v>198700</v>
      </c>
      <c r="AM25" s="476"/>
    </row>
    <row r="26" spans="1:39" x14ac:dyDescent="0.25">
      <c r="A26" s="59"/>
      <c r="B26" s="506"/>
      <c r="C26" s="481" t="s">
        <v>75</v>
      </c>
      <c r="D26" s="477">
        <v>123300</v>
      </c>
      <c r="E26" s="477">
        <v>127700</v>
      </c>
      <c r="F26" s="477">
        <v>132100</v>
      </c>
      <c r="G26" s="477">
        <v>136500</v>
      </c>
      <c r="H26" s="477">
        <v>140900</v>
      </c>
      <c r="I26" s="477">
        <v>145300</v>
      </c>
      <c r="J26" s="477">
        <v>149700</v>
      </c>
      <c r="K26" s="478">
        <v>154100</v>
      </c>
      <c r="L26" s="478">
        <v>158500</v>
      </c>
      <c r="M26" s="478">
        <v>162900</v>
      </c>
      <c r="N26" s="478">
        <v>167300</v>
      </c>
      <c r="O26" s="478">
        <v>171700</v>
      </c>
      <c r="P26" s="478">
        <v>176100</v>
      </c>
      <c r="Q26" s="482"/>
      <c r="R26" s="506"/>
      <c r="S26" s="481" t="s">
        <v>75</v>
      </c>
      <c r="T26" s="477">
        <v>142600</v>
      </c>
      <c r="U26" s="477">
        <v>147700</v>
      </c>
      <c r="V26" s="477">
        <v>152800</v>
      </c>
      <c r="W26" s="477">
        <v>157900</v>
      </c>
      <c r="X26" s="477">
        <v>163000</v>
      </c>
      <c r="Y26" s="477">
        <v>168100</v>
      </c>
      <c r="Z26" s="477">
        <v>173200</v>
      </c>
      <c r="AA26" s="478">
        <v>178300</v>
      </c>
      <c r="AB26" s="478">
        <v>183400</v>
      </c>
      <c r="AC26" s="478">
        <v>188500</v>
      </c>
      <c r="AD26" s="478">
        <v>193600</v>
      </c>
      <c r="AE26" s="478">
        <v>198700</v>
      </c>
      <c r="AF26" s="478">
        <v>203800</v>
      </c>
      <c r="AM26" s="476"/>
    </row>
    <row r="27" spans="1:39" x14ac:dyDescent="0.25">
      <c r="A27" s="59"/>
      <c r="B27" s="506"/>
      <c r="C27" s="481" t="s">
        <v>76</v>
      </c>
      <c r="D27" s="477">
        <v>127700</v>
      </c>
      <c r="E27" s="477">
        <v>132100</v>
      </c>
      <c r="F27" s="477">
        <v>136500</v>
      </c>
      <c r="G27" s="477">
        <v>140900</v>
      </c>
      <c r="H27" s="477">
        <v>145300</v>
      </c>
      <c r="I27" s="477">
        <v>149700</v>
      </c>
      <c r="J27" s="477">
        <v>154100</v>
      </c>
      <c r="K27" s="478">
        <v>158500</v>
      </c>
      <c r="L27" s="478">
        <v>162900</v>
      </c>
      <c r="M27" s="478">
        <v>167300</v>
      </c>
      <c r="N27" s="478">
        <v>171700</v>
      </c>
      <c r="O27" s="478">
        <v>176100</v>
      </c>
      <c r="P27" s="478">
        <v>180500</v>
      </c>
      <c r="Q27" s="482"/>
      <c r="R27" s="506"/>
      <c r="S27" s="481" t="s">
        <v>76</v>
      </c>
      <c r="T27" s="477">
        <v>147700</v>
      </c>
      <c r="U27" s="477">
        <v>152800</v>
      </c>
      <c r="V27" s="477">
        <v>157900</v>
      </c>
      <c r="W27" s="477">
        <v>163000</v>
      </c>
      <c r="X27" s="477">
        <v>168100</v>
      </c>
      <c r="Y27" s="477">
        <v>173200</v>
      </c>
      <c r="Z27" s="477">
        <v>178300</v>
      </c>
      <c r="AA27" s="478">
        <v>183400</v>
      </c>
      <c r="AB27" s="478">
        <v>188500</v>
      </c>
      <c r="AC27" s="478">
        <v>193600</v>
      </c>
      <c r="AD27" s="478">
        <v>198700</v>
      </c>
      <c r="AE27" s="478">
        <v>203800</v>
      </c>
      <c r="AF27" s="478">
        <v>208900</v>
      </c>
      <c r="AM27" s="476"/>
    </row>
    <row r="28" spans="1:39" x14ac:dyDescent="0.25">
      <c r="A28" s="59"/>
      <c r="B28" s="506"/>
      <c r="C28" s="481" t="s">
        <v>77</v>
      </c>
      <c r="D28" s="477">
        <v>132100</v>
      </c>
      <c r="E28" s="477">
        <v>136500</v>
      </c>
      <c r="F28" s="477">
        <v>140900</v>
      </c>
      <c r="G28" s="477">
        <v>145300</v>
      </c>
      <c r="H28" s="477">
        <v>149700</v>
      </c>
      <c r="I28" s="477">
        <v>154100</v>
      </c>
      <c r="J28" s="477">
        <v>158500</v>
      </c>
      <c r="K28" s="478">
        <v>162900</v>
      </c>
      <c r="L28" s="478">
        <v>167300</v>
      </c>
      <c r="M28" s="478">
        <v>171700</v>
      </c>
      <c r="N28" s="478">
        <v>176100</v>
      </c>
      <c r="O28" s="478">
        <v>180500</v>
      </c>
      <c r="P28" s="478">
        <v>184900</v>
      </c>
      <c r="Q28" s="482"/>
      <c r="R28" s="506"/>
      <c r="S28" s="481" t="s">
        <v>77</v>
      </c>
      <c r="T28" s="477">
        <v>152800</v>
      </c>
      <c r="U28" s="477">
        <v>157900</v>
      </c>
      <c r="V28" s="477">
        <v>163000</v>
      </c>
      <c r="W28" s="477">
        <v>168100</v>
      </c>
      <c r="X28" s="477">
        <v>173200</v>
      </c>
      <c r="Y28" s="477">
        <v>178300</v>
      </c>
      <c r="Z28" s="477">
        <v>183400</v>
      </c>
      <c r="AA28" s="478">
        <v>188500</v>
      </c>
      <c r="AB28" s="478">
        <v>193600</v>
      </c>
      <c r="AC28" s="478">
        <v>198700</v>
      </c>
      <c r="AD28" s="478">
        <v>203800</v>
      </c>
      <c r="AE28" s="478">
        <v>208900</v>
      </c>
      <c r="AF28" s="478">
        <v>214000</v>
      </c>
      <c r="AM28" s="476"/>
    </row>
    <row r="29" spans="1:39" x14ac:dyDescent="0.25">
      <c r="A29" s="59"/>
      <c r="B29" s="506"/>
      <c r="C29" s="481" t="s">
        <v>78</v>
      </c>
      <c r="D29" s="477">
        <v>136500</v>
      </c>
      <c r="E29" s="477">
        <v>140900</v>
      </c>
      <c r="F29" s="477">
        <v>145300</v>
      </c>
      <c r="G29" s="477">
        <v>149700</v>
      </c>
      <c r="H29" s="477">
        <v>154100</v>
      </c>
      <c r="I29" s="477">
        <v>158500</v>
      </c>
      <c r="J29" s="477">
        <v>162900</v>
      </c>
      <c r="K29" s="478">
        <v>167300</v>
      </c>
      <c r="L29" s="478">
        <v>171700</v>
      </c>
      <c r="M29" s="478">
        <v>176100</v>
      </c>
      <c r="N29" s="478">
        <v>180500</v>
      </c>
      <c r="O29" s="478">
        <v>184900</v>
      </c>
      <c r="P29" s="478">
        <v>189300</v>
      </c>
      <c r="Q29" s="482"/>
      <c r="R29" s="506"/>
      <c r="S29" s="481" t="s">
        <v>78</v>
      </c>
      <c r="T29" s="477">
        <v>157900</v>
      </c>
      <c r="U29" s="477">
        <v>163000</v>
      </c>
      <c r="V29" s="477">
        <v>168100</v>
      </c>
      <c r="W29" s="477">
        <v>173200</v>
      </c>
      <c r="X29" s="477">
        <v>178300</v>
      </c>
      <c r="Y29" s="477">
        <v>183400</v>
      </c>
      <c r="Z29" s="477">
        <v>188500</v>
      </c>
      <c r="AA29" s="478">
        <v>193600</v>
      </c>
      <c r="AB29" s="478">
        <v>198700</v>
      </c>
      <c r="AC29" s="478">
        <v>203800</v>
      </c>
      <c r="AD29" s="478">
        <v>208900</v>
      </c>
      <c r="AE29" s="478">
        <v>214000</v>
      </c>
      <c r="AF29" s="478">
        <v>219100</v>
      </c>
      <c r="AM29" s="476"/>
    </row>
    <row r="30" spans="1:39" x14ac:dyDescent="0.25">
      <c r="A30" s="59"/>
      <c r="B30" s="506"/>
      <c r="C30" s="481" t="s">
        <v>79</v>
      </c>
      <c r="D30" s="477">
        <v>140900</v>
      </c>
      <c r="E30" s="477">
        <v>145300</v>
      </c>
      <c r="F30" s="477">
        <v>149700</v>
      </c>
      <c r="G30" s="477">
        <v>154100</v>
      </c>
      <c r="H30" s="477">
        <v>158500</v>
      </c>
      <c r="I30" s="477">
        <v>162900</v>
      </c>
      <c r="J30" s="477">
        <v>167300</v>
      </c>
      <c r="K30" s="478">
        <v>171700</v>
      </c>
      <c r="L30" s="478">
        <v>176100</v>
      </c>
      <c r="M30" s="478">
        <v>180500</v>
      </c>
      <c r="N30" s="478">
        <v>184900</v>
      </c>
      <c r="O30" s="478">
        <v>189300</v>
      </c>
      <c r="P30" s="478">
        <v>193700</v>
      </c>
      <c r="Q30" s="482"/>
      <c r="R30" s="506"/>
      <c r="S30" s="481" t="s">
        <v>79</v>
      </c>
      <c r="T30" s="477">
        <v>163000</v>
      </c>
      <c r="U30" s="477">
        <v>168100</v>
      </c>
      <c r="V30" s="477">
        <v>173200</v>
      </c>
      <c r="W30" s="477">
        <v>178300</v>
      </c>
      <c r="X30" s="477">
        <v>183400</v>
      </c>
      <c r="Y30" s="477">
        <v>188500</v>
      </c>
      <c r="Z30" s="477">
        <v>193600</v>
      </c>
      <c r="AA30" s="478">
        <v>198700</v>
      </c>
      <c r="AB30" s="478">
        <v>203800</v>
      </c>
      <c r="AC30" s="478">
        <v>208900</v>
      </c>
      <c r="AD30" s="478">
        <v>214000</v>
      </c>
      <c r="AE30" s="478">
        <v>219100</v>
      </c>
      <c r="AF30" s="478">
        <v>224200</v>
      </c>
      <c r="AM30" s="476"/>
    </row>
    <row r="31" spans="1:39" x14ac:dyDescent="0.25">
      <c r="B31" s="506"/>
      <c r="C31" s="483" t="s">
        <v>378</v>
      </c>
      <c r="D31" s="478">
        <v>145300</v>
      </c>
      <c r="E31" s="478">
        <v>149700</v>
      </c>
      <c r="F31" s="478">
        <v>154100</v>
      </c>
      <c r="G31" s="478">
        <v>158500</v>
      </c>
      <c r="H31" s="478">
        <v>162900</v>
      </c>
      <c r="I31" s="478">
        <v>167300</v>
      </c>
      <c r="J31" s="478">
        <v>171700</v>
      </c>
      <c r="K31" s="478">
        <v>176100</v>
      </c>
      <c r="L31" s="478">
        <v>180500</v>
      </c>
      <c r="M31" s="478">
        <v>184900</v>
      </c>
      <c r="N31" s="478">
        <v>189300</v>
      </c>
      <c r="O31" s="478">
        <v>193700</v>
      </c>
      <c r="P31" s="478">
        <v>198100</v>
      </c>
      <c r="Q31" s="484"/>
      <c r="R31" s="506"/>
      <c r="S31" s="483" t="s">
        <v>378</v>
      </c>
      <c r="T31" s="478">
        <v>168100</v>
      </c>
      <c r="U31" s="478">
        <v>173200</v>
      </c>
      <c r="V31" s="478">
        <v>178300</v>
      </c>
      <c r="W31" s="478">
        <v>183400</v>
      </c>
      <c r="X31" s="478">
        <v>188500</v>
      </c>
      <c r="Y31" s="478">
        <v>193600</v>
      </c>
      <c r="Z31" s="478">
        <v>198700</v>
      </c>
      <c r="AA31" s="478">
        <v>203800</v>
      </c>
      <c r="AB31" s="478">
        <v>208900</v>
      </c>
      <c r="AC31" s="478">
        <v>214000</v>
      </c>
      <c r="AD31" s="478">
        <v>219100</v>
      </c>
      <c r="AE31" s="478">
        <v>224200</v>
      </c>
      <c r="AF31" s="478">
        <v>229300</v>
      </c>
      <c r="AM31" s="476"/>
    </row>
    <row r="32" spans="1:39" ht="13.9" customHeight="1" x14ac:dyDescent="0.25">
      <c r="B32" s="506"/>
      <c r="C32" s="483" t="s">
        <v>379</v>
      </c>
      <c r="D32" s="478">
        <v>149700</v>
      </c>
      <c r="E32" s="478">
        <v>154100</v>
      </c>
      <c r="F32" s="478">
        <v>158500</v>
      </c>
      <c r="G32" s="478">
        <v>162900</v>
      </c>
      <c r="H32" s="478">
        <v>167300</v>
      </c>
      <c r="I32" s="478">
        <v>171700</v>
      </c>
      <c r="J32" s="478">
        <v>176100</v>
      </c>
      <c r="K32" s="478">
        <v>180500</v>
      </c>
      <c r="L32" s="478">
        <v>184900</v>
      </c>
      <c r="M32" s="478">
        <v>189300</v>
      </c>
      <c r="N32" s="478">
        <v>193700</v>
      </c>
      <c r="O32" s="478">
        <v>198100</v>
      </c>
      <c r="P32" s="478">
        <v>202500</v>
      </c>
      <c r="Q32" s="485"/>
      <c r="R32" s="506"/>
      <c r="S32" s="483" t="s">
        <v>379</v>
      </c>
      <c r="T32" s="478">
        <v>173200</v>
      </c>
      <c r="U32" s="478">
        <v>178300</v>
      </c>
      <c r="V32" s="478">
        <v>183400</v>
      </c>
      <c r="W32" s="478">
        <v>188500</v>
      </c>
      <c r="X32" s="478">
        <v>193600</v>
      </c>
      <c r="Y32" s="478">
        <v>198700</v>
      </c>
      <c r="Z32" s="478">
        <v>203800</v>
      </c>
      <c r="AA32" s="478">
        <v>208900</v>
      </c>
      <c r="AB32" s="478">
        <v>214000</v>
      </c>
      <c r="AC32" s="478">
        <v>219100</v>
      </c>
      <c r="AD32" s="478">
        <v>224200</v>
      </c>
      <c r="AE32" s="478">
        <v>229300</v>
      </c>
      <c r="AF32" s="478">
        <v>234400</v>
      </c>
      <c r="AM32" s="476"/>
    </row>
    <row r="33" spans="2:39" ht="15" customHeight="1" x14ac:dyDescent="0.25">
      <c r="B33" s="506"/>
      <c r="C33" s="483" t="s">
        <v>380</v>
      </c>
      <c r="D33" s="478">
        <v>154100</v>
      </c>
      <c r="E33" s="478">
        <v>158500</v>
      </c>
      <c r="F33" s="478">
        <v>162900</v>
      </c>
      <c r="G33" s="478">
        <v>167300</v>
      </c>
      <c r="H33" s="478">
        <v>171700</v>
      </c>
      <c r="I33" s="478">
        <v>176100</v>
      </c>
      <c r="J33" s="478">
        <v>180500</v>
      </c>
      <c r="K33" s="478">
        <v>184900</v>
      </c>
      <c r="L33" s="478">
        <v>189300</v>
      </c>
      <c r="M33" s="478">
        <v>193700</v>
      </c>
      <c r="N33" s="478">
        <v>198100</v>
      </c>
      <c r="O33" s="478">
        <v>202500</v>
      </c>
      <c r="P33" s="478">
        <v>206900</v>
      </c>
      <c r="Q33" s="485"/>
      <c r="R33" s="506"/>
      <c r="S33" s="483" t="s">
        <v>380</v>
      </c>
      <c r="T33" s="478">
        <v>178300</v>
      </c>
      <c r="U33" s="478">
        <v>183400</v>
      </c>
      <c r="V33" s="478">
        <v>188500</v>
      </c>
      <c r="W33" s="478">
        <v>193600</v>
      </c>
      <c r="X33" s="478">
        <v>198700</v>
      </c>
      <c r="Y33" s="478">
        <v>203800</v>
      </c>
      <c r="Z33" s="478">
        <v>208900</v>
      </c>
      <c r="AA33" s="478">
        <v>214000</v>
      </c>
      <c r="AB33" s="478">
        <v>219100</v>
      </c>
      <c r="AC33" s="478">
        <v>224200</v>
      </c>
      <c r="AD33" s="478">
        <v>229300</v>
      </c>
      <c r="AE33" s="478">
        <v>234400</v>
      </c>
      <c r="AF33" s="478">
        <v>239500</v>
      </c>
      <c r="AM33" s="476"/>
    </row>
    <row r="34" spans="2:39" ht="14.45" customHeight="1" x14ac:dyDescent="0.25">
      <c r="B34" s="506"/>
      <c r="C34" s="483" t="s">
        <v>381</v>
      </c>
      <c r="D34" s="478">
        <v>158500</v>
      </c>
      <c r="E34" s="478">
        <v>162900</v>
      </c>
      <c r="F34" s="478">
        <v>167300</v>
      </c>
      <c r="G34" s="478">
        <v>171700</v>
      </c>
      <c r="H34" s="478">
        <v>176100</v>
      </c>
      <c r="I34" s="478">
        <v>180500</v>
      </c>
      <c r="J34" s="478">
        <v>184900</v>
      </c>
      <c r="K34" s="478">
        <v>189300</v>
      </c>
      <c r="L34" s="478">
        <v>193700</v>
      </c>
      <c r="M34" s="478">
        <v>198100</v>
      </c>
      <c r="N34" s="478">
        <v>202500</v>
      </c>
      <c r="O34" s="478">
        <v>206900</v>
      </c>
      <c r="P34" s="478">
        <v>211300</v>
      </c>
      <c r="Q34" s="485"/>
      <c r="R34" s="506"/>
      <c r="S34" s="483" t="s">
        <v>381</v>
      </c>
      <c r="T34" s="478">
        <v>183400</v>
      </c>
      <c r="U34" s="478">
        <v>188500</v>
      </c>
      <c r="V34" s="478">
        <v>193600</v>
      </c>
      <c r="W34" s="478">
        <v>198700</v>
      </c>
      <c r="X34" s="478">
        <v>203800</v>
      </c>
      <c r="Y34" s="478">
        <v>208900</v>
      </c>
      <c r="Z34" s="478">
        <v>214000</v>
      </c>
      <c r="AA34" s="478">
        <v>219100</v>
      </c>
      <c r="AB34" s="478">
        <v>224200</v>
      </c>
      <c r="AC34" s="478">
        <v>229300</v>
      </c>
      <c r="AD34" s="478">
        <v>234400</v>
      </c>
      <c r="AE34" s="478">
        <v>239500</v>
      </c>
      <c r="AF34" s="478">
        <v>244600</v>
      </c>
      <c r="AM34" s="476"/>
    </row>
    <row r="35" spans="2:39" x14ac:dyDescent="0.25">
      <c r="B35" s="506"/>
      <c r="C35" s="483" t="s">
        <v>382</v>
      </c>
      <c r="D35" s="478">
        <v>162900</v>
      </c>
      <c r="E35" s="478">
        <v>167300</v>
      </c>
      <c r="F35" s="478">
        <v>171700</v>
      </c>
      <c r="G35" s="478">
        <v>176100</v>
      </c>
      <c r="H35" s="478">
        <v>180500</v>
      </c>
      <c r="I35" s="478">
        <v>184900</v>
      </c>
      <c r="J35" s="478">
        <v>189300</v>
      </c>
      <c r="K35" s="478">
        <v>193700</v>
      </c>
      <c r="L35" s="478">
        <v>198100</v>
      </c>
      <c r="M35" s="478">
        <v>202500</v>
      </c>
      <c r="N35" s="478">
        <v>206900</v>
      </c>
      <c r="O35" s="478">
        <v>211300</v>
      </c>
      <c r="P35" s="478">
        <v>215700</v>
      </c>
      <c r="Q35" s="484"/>
      <c r="R35" s="506"/>
      <c r="S35" s="483" t="s">
        <v>382</v>
      </c>
      <c r="T35" s="478">
        <v>188500</v>
      </c>
      <c r="U35" s="478">
        <v>193600</v>
      </c>
      <c r="V35" s="478">
        <v>198700</v>
      </c>
      <c r="W35" s="478">
        <v>203800</v>
      </c>
      <c r="X35" s="478">
        <v>208900</v>
      </c>
      <c r="Y35" s="478">
        <v>214000</v>
      </c>
      <c r="Z35" s="478">
        <v>219100</v>
      </c>
      <c r="AA35" s="478">
        <v>224200</v>
      </c>
      <c r="AB35" s="478">
        <v>229300</v>
      </c>
      <c r="AC35" s="478">
        <v>234400</v>
      </c>
      <c r="AD35" s="478">
        <v>239500</v>
      </c>
      <c r="AE35" s="478">
        <v>244600</v>
      </c>
      <c r="AF35" s="478">
        <v>249700</v>
      </c>
      <c r="AM35" s="476"/>
    </row>
    <row r="36" spans="2:39" x14ac:dyDescent="0.25">
      <c r="B36" s="506"/>
      <c r="C36" s="483" t="s">
        <v>383</v>
      </c>
      <c r="D36" s="478">
        <v>167300</v>
      </c>
      <c r="E36" s="478">
        <v>171700</v>
      </c>
      <c r="F36" s="478">
        <v>176100</v>
      </c>
      <c r="G36" s="478">
        <v>180500</v>
      </c>
      <c r="H36" s="478">
        <v>184900</v>
      </c>
      <c r="I36" s="478">
        <v>189300</v>
      </c>
      <c r="J36" s="478">
        <v>193700</v>
      </c>
      <c r="K36" s="478">
        <v>198100</v>
      </c>
      <c r="L36" s="478">
        <v>202500</v>
      </c>
      <c r="M36" s="478">
        <v>206900</v>
      </c>
      <c r="N36" s="478">
        <v>211300</v>
      </c>
      <c r="O36" s="478">
        <v>215700</v>
      </c>
      <c r="P36" s="478">
        <v>220100</v>
      </c>
      <c r="Q36" s="484"/>
      <c r="R36" s="506"/>
      <c r="S36" s="483" t="s">
        <v>383</v>
      </c>
      <c r="T36" s="478">
        <v>193600</v>
      </c>
      <c r="U36" s="478">
        <v>198700</v>
      </c>
      <c r="V36" s="478">
        <v>203800</v>
      </c>
      <c r="W36" s="478">
        <v>208900</v>
      </c>
      <c r="X36" s="478">
        <v>214000</v>
      </c>
      <c r="Y36" s="478">
        <v>219100</v>
      </c>
      <c r="Z36" s="478">
        <v>224200</v>
      </c>
      <c r="AA36" s="478">
        <v>229300</v>
      </c>
      <c r="AB36" s="478">
        <v>234400</v>
      </c>
      <c r="AC36" s="478">
        <v>239500</v>
      </c>
      <c r="AD36" s="478">
        <v>244600</v>
      </c>
      <c r="AE36" s="478">
        <v>249700</v>
      </c>
      <c r="AF36" s="478">
        <v>254800</v>
      </c>
      <c r="AI36" s="476"/>
      <c r="AJ36" s="476"/>
      <c r="AK36" s="476"/>
      <c r="AL36" s="476"/>
    </row>
    <row r="37" spans="2:39" x14ac:dyDescent="0.25">
      <c r="B37" s="484"/>
      <c r="C37" s="484"/>
      <c r="D37" s="484"/>
      <c r="E37" s="486"/>
      <c r="F37" s="486"/>
      <c r="G37" s="486"/>
      <c r="H37" s="486"/>
      <c r="I37" s="486"/>
      <c r="J37" s="486"/>
      <c r="K37" s="486"/>
      <c r="L37" s="486"/>
      <c r="M37" s="486"/>
      <c r="N37" s="486"/>
      <c r="O37" s="486"/>
      <c r="P37" s="486"/>
      <c r="Q37" s="484"/>
      <c r="R37" s="484"/>
      <c r="S37" s="484"/>
      <c r="T37" s="484"/>
      <c r="U37" s="486"/>
      <c r="V37" s="486"/>
      <c r="W37" s="486"/>
      <c r="X37" s="486"/>
      <c r="Y37" s="486"/>
      <c r="Z37" s="486"/>
      <c r="AA37" s="486"/>
      <c r="AB37" s="486"/>
      <c r="AC37" s="486"/>
      <c r="AD37" s="486"/>
      <c r="AE37" s="486"/>
      <c r="AF37" s="486"/>
      <c r="AH37" s="476"/>
      <c r="AI37" s="476"/>
      <c r="AJ37" s="476"/>
      <c r="AK37" s="476"/>
    </row>
    <row r="38" spans="2:39" ht="20.25" customHeight="1" x14ac:dyDescent="0.25">
      <c r="B38" s="510" t="s">
        <v>384</v>
      </c>
      <c r="C38" s="510"/>
      <c r="D38" s="510"/>
      <c r="E38" s="510"/>
      <c r="F38" s="510"/>
      <c r="G38" s="510"/>
      <c r="H38" s="510"/>
      <c r="I38" s="510"/>
      <c r="J38" s="510"/>
      <c r="K38" s="510"/>
      <c r="L38" s="510"/>
      <c r="M38" s="510"/>
      <c r="N38" s="510"/>
      <c r="O38" s="511" t="s">
        <v>385</v>
      </c>
      <c r="P38" s="511"/>
      <c r="Q38" s="484"/>
      <c r="R38" s="512" t="s">
        <v>386</v>
      </c>
      <c r="S38" s="512"/>
      <c r="T38" s="512"/>
      <c r="U38" s="512"/>
      <c r="V38" s="512"/>
      <c r="W38" s="512"/>
      <c r="X38" s="512"/>
      <c r="Y38" s="512"/>
      <c r="Z38" s="512"/>
      <c r="AA38" s="512"/>
      <c r="AB38" s="512"/>
      <c r="AC38" s="512"/>
      <c r="AD38" s="512"/>
      <c r="AE38" s="512"/>
      <c r="AF38" s="512"/>
      <c r="AH38" s="476"/>
      <c r="AI38" s="476"/>
      <c r="AJ38" s="476"/>
      <c r="AK38" s="476"/>
    </row>
    <row r="39" spans="2:39" ht="20.25" customHeight="1" x14ac:dyDescent="0.25">
      <c r="B39" s="510"/>
      <c r="C39" s="510"/>
      <c r="D39" s="510"/>
      <c r="E39" s="510"/>
      <c r="F39" s="510"/>
      <c r="G39" s="510"/>
      <c r="H39" s="510"/>
      <c r="I39" s="510"/>
      <c r="J39" s="510"/>
      <c r="K39" s="510"/>
      <c r="L39" s="510"/>
      <c r="M39" s="510"/>
      <c r="N39" s="510"/>
      <c r="O39" s="511"/>
      <c r="P39" s="511"/>
      <c r="Q39" s="484"/>
      <c r="R39" s="512"/>
      <c r="S39" s="512"/>
      <c r="T39" s="512"/>
      <c r="U39" s="512"/>
      <c r="V39" s="512"/>
      <c r="W39" s="512"/>
      <c r="X39" s="512"/>
      <c r="Y39" s="512"/>
      <c r="Z39" s="512"/>
      <c r="AA39" s="512"/>
      <c r="AB39" s="512"/>
      <c r="AC39" s="512"/>
      <c r="AD39" s="512"/>
      <c r="AE39" s="512"/>
      <c r="AF39" s="512"/>
      <c r="AH39" s="476"/>
      <c r="AI39" s="476"/>
      <c r="AJ39" s="476"/>
      <c r="AK39" s="476"/>
    </row>
    <row r="40" spans="2:39" ht="20.25" customHeight="1" x14ac:dyDescent="0.25">
      <c r="B40" s="510" t="s">
        <v>387</v>
      </c>
      <c r="C40" s="510"/>
      <c r="D40" s="510"/>
      <c r="E40" s="510"/>
      <c r="F40" s="510"/>
      <c r="G40" s="510"/>
      <c r="H40" s="510"/>
      <c r="I40" s="510"/>
      <c r="J40" s="510"/>
      <c r="K40" s="510"/>
      <c r="L40" s="510"/>
      <c r="M40" s="510"/>
      <c r="N40" s="510"/>
      <c r="O40" s="511" t="s">
        <v>388</v>
      </c>
      <c r="P40" s="511"/>
      <c r="Q40" s="484"/>
      <c r="R40" s="512"/>
      <c r="S40" s="512"/>
      <c r="T40" s="512"/>
      <c r="U40" s="512"/>
      <c r="V40" s="512"/>
      <c r="W40" s="512"/>
      <c r="X40" s="512"/>
      <c r="Y40" s="512"/>
      <c r="Z40" s="512"/>
      <c r="AA40" s="512"/>
      <c r="AB40" s="512"/>
      <c r="AC40" s="512"/>
      <c r="AD40" s="512"/>
      <c r="AE40" s="512"/>
      <c r="AF40" s="512"/>
      <c r="AH40" s="476"/>
      <c r="AI40" s="476"/>
      <c r="AJ40" s="476"/>
      <c r="AK40" s="476"/>
    </row>
    <row r="41" spans="2:39" ht="20.25" customHeight="1" x14ac:dyDescent="0.25">
      <c r="B41" s="510"/>
      <c r="C41" s="510"/>
      <c r="D41" s="510"/>
      <c r="E41" s="510"/>
      <c r="F41" s="510"/>
      <c r="G41" s="510"/>
      <c r="H41" s="510"/>
      <c r="I41" s="510"/>
      <c r="J41" s="510"/>
      <c r="K41" s="510"/>
      <c r="L41" s="510"/>
      <c r="M41" s="510"/>
      <c r="N41" s="510"/>
      <c r="O41" s="511"/>
      <c r="P41" s="511"/>
      <c r="Q41" s="484"/>
      <c r="R41" s="512"/>
      <c r="S41" s="512"/>
      <c r="T41" s="512"/>
      <c r="U41" s="512"/>
      <c r="V41" s="512"/>
      <c r="W41" s="512"/>
      <c r="X41" s="512"/>
      <c r="Y41" s="512"/>
      <c r="Z41" s="512"/>
      <c r="AA41" s="512"/>
      <c r="AB41" s="512"/>
      <c r="AC41" s="512"/>
      <c r="AD41" s="512"/>
      <c r="AE41" s="512"/>
      <c r="AF41" s="512"/>
      <c r="AH41" s="476"/>
      <c r="AI41" s="476"/>
      <c r="AJ41" s="476"/>
      <c r="AK41" s="476"/>
    </row>
    <row r="42" spans="2:39" x14ac:dyDescent="0.25">
      <c r="B42" s="484"/>
      <c r="C42" s="484"/>
      <c r="D42" s="484"/>
      <c r="E42" s="484"/>
      <c r="F42" s="484"/>
      <c r="G42" s="484"/>
      <c r="H42" s="484"/>
      <c r="I42" s="484"/>
      <c r="J42" s="484"/>
      <c r="K42" s="484"/>
      <c r="L42" s="484"/>
      <c r="M42" s="484"/>
      <c r="N42" s="484"/>
      <c r="O42" s="484"/>
      <c r="P42" s="484"/>
      <c r="Q42" s="484"/>
      <c r="R42" s="484"/>
      <c r="S42" s="484"/>
      <c r="T42" s="484"/>
      <c r="U42" s="484"/>
      <c r="V42" s="484"/>
      <c r="W42" s="484"/>
      <c r="X42" s="484"/>
      <c r="Y42" s="484"/>
      <c r="Z42" s="484"/>
      <c r="AA42" s="484"/>
      <c r="AB42" s="484"/>
      <c r="AC42" s="484"/>
      <c r="AD42" s="484"/>
      <c r="AE42" s="484"/>
      <c r="AF42" s="484"/>
      <c r="AH42" s="476"/>
      <c r="AI42" s="476"/>
      <c r="AJ42" s="476"/>
      <c r="AK42" s="476"/>
    </row>
    <row r="43" spans="2:39" ht="19.5" x14ac:dyDescent="0.25">
      <c r="B43" s="507" t="s">
        <v>86</v>
      </c>
      <c r="C43" s="507"/>
      <c r="D43" s="507"/>
      <c r="E43" s="507"/>
      <c r="F43" s="507"/>
      <c r="G43" s="507"/>
      <c r="H43" s="507"/>
      <c r="I43" s="507"/>
      <c r="J43" s="507"/>
      <c r="K43" s="507"/>
      <c r="L43" s="507"/>
      <c r="M43" s="507"/>
      <c r="N43" s="507"/>
      <c r="O43" s="507"/>
      <c r="P43" s="507"/>
      <c r="Q43" s="484"/>
      <c r="R43" s="507" t="s">
        <v>88</v>
      </c>
      <c r="S43" s="507"/>
      <c r="T43" s="507"/>
      <c r="U43" s="507"/>
      <c r="V43" s="507"/>
      <c r="W43" s="507"/>
      <c r="X43" s="507"/>
      <c r="Y43" s="484"/>
      <c r="Z43" s="507" t="s">
        <v>389</v>
      </c>
      <c r="AA43" s="507"/>
      <c r="AB43" s="507"/>
      <c r="AC43" s="507"/>
      <c r="AD43" s="507"/>
      <c r="AE43" s="507"/>
      <c r="AF43" s="507"/>
      <c r="AH43" s="476"/>
      <c r="AI43" s="476"/>
      <c r="AJ43" s="476"/>
      <c r="AK43" s="476"/>
    </row>
    <row r="44" spans="2:39" ht="18.75" customHeight="1" x14ac:dyDescent="0.25">
      <c r="B44" s="508" t="s">
        <v>390</v>
      </c>
      <c r="C44" s="508"/>
      <c r="D44" s="508"/>
      <c r="E44" s="508"/>
      <c r="F44" s="508"/>
      <c r="G44" s="508"/>
      <c r="H44" s="508"/>
      <c r="I44" s="508"/>
      <c r="J44" s="508"/>
      <c r="K44" s="508"/>
      <c r="L44" s="508"/>
      <c r="M44" s="508"/>
      <c r="N44" s="508"/>
      <c r="O44" s="508"/>
      <c r="P44" s="508"/>
      <c r="Q44" s="484"/>
      <c r="R44" s="509" t="s">
        <v>391</v>
      </c>
      <c r="S44" s="509"/>
      <c r="T44" s="509"/>
      <c r="U44" s="509"/>
      <c r="V44" s="509"/>
      <c r="W44" s="509"/>
      <c r="X44" s="509"/>
      <c r="Y44" s="484"/>
      <c r="Z44" s="509" t="s">
        <v>392</v>
      </c>
      <c r="AA44" s="509"/>
      <c r="AB44" s="509"/>
      <c r="AC44" s="509"/>
      <c r="AD44" s="509"/>
      <c r="AE44" s="509"/>
      <c r="AF44" s="509"/>
      <c r="AH44" s="476"/>
    </row>
    <row r="45" spans="2:39" ht="15.75" x14ac:dyDescent="0.25">
      <c r="B45" s="487"/>
      <c r="C45" s="505" t="s">
        <v>40</v>
      </c>
      <c r="D45" s="505"/>
      <c r="E45" s="505"/>
      <c r="F45" s="505"/>
      <c r="G45" s="505"/>
      <c r="H45" s="505"/>
      <c r="I45" s="505"/>
      <c r="J45" s="505"/>
      <c r="K45" s="505"/>
      <c r="L45" s="505"/>
      <c r="M45" s="505"/>
      <c r="N45" s="505"/>
      <c r="O45" s="505"/>
      <c r="P45" s="505"/>
      <c r="Q45" s="484"/>
      <c r="R45" s="488"/>
      <c r="S45" s="505" t="s">
        <v>41</v>
      </c>
      <c r="T45" s="505"/>
      <c r="U45" s="505"/>
      <c r="V45" s="505"/>
      <c r="W45" s="505"/>
      <c r="X45" s="505"/>
      <c r="Y45" s="489"/>
      <c r="Z45" s="488"/>
      <c r="AA45" s="505" t="s">
        <v>393</v>
      </c>
      <c r="AB45" s="505"/>
      <c r="AC45" s="505"/>
      <c r="AD45" s="505"/>
      <c r="AE45" s="505"/>
      <c r="AF45" s="505"/>
      <c r="AH45" s="476"/>
    </row>
    <row r="46" spans="2:39" x14ac:dyDescent="0.2">
      <c r="B46" s="487"/>
      <c r="C46" s="490"/>
      <c r="D46" s="473" t="s">
        <v>42</v>
      </c>
      <c r="E46" s="473" t="s">
        <v>43</v>
      </c>
      <c r="F46" s="473" t="s">
        <v>44</v>
      </c>
      <c r="G46" s="473" t="s">
        <v>45</v>
      </c>
      <c r="H46" s="473" t="s">
        <v>46</v>
      </c>
      <c r="I46" s="473" t="s">
        <v>47</v>
      </c>
      <c r="J46" s="473" t="s">
        <v>48</v>
      </c>
      <c r="K46" s="474" t="s">
        <v>372</v>
      </c>
      <c r="L46" s="474" t="s">
        <v>373</v>
      </c>
      <c r="M46" s="474" t="s">
        <v>374</v>
      </c>
      <c r="N46" s="474" t="s">
        <v>375</v>
      </c>
      <c r="O46" s="474" t="s">
        <v>376</v>
      </c>
      <c r="P46" s="474" t="s">
        <v>377</v>
      </c>
      <c r="Q46" s="484"/>
      <c r="R46" s="488"/>
      <c r="S46" s="491"/>
      <c r="T46" s="492" t="s">
        <v>49</v>
      </c>
      <c r="U46" s="492" t="s">
        <v>50</v>
      </c>
      <c r="V46" s="492" t="s">
        <v>51</v>
      </c>
      <c r="W46" s="492" t="s">
        <v>52</v>
      </c>
      <c r="X46" s="493" t="s">
        <v>394</v>
      </c>
      <c r="Y46" s="489"/>
      <c r="Z46" s="488"/>
      <c r="AA46" s="491"/>
      <c r="AB46" s="492" t="s">
        <v>49</v>
      </c>
      <c r="AC46" s="492" t="s">
        <v>50</v>
      </c>
      <c r="AD46" s="492" t="s">
        <v>51</v>
      </c>
      <c r="AE46" s="492" t="s">
        <v>52</v>
      </c>
      <c r="AF46" s="493" t="s">
        <v>394</v>
      </c>
      <c r="AH46" s="476"/>
    </row>
    <row r="47" spans="2:39" ht="12.75" customHeight="1" x14ac:dyDescent="0.25">
      <c r="B47" s="506" t="s">
        <v>140</v>
      </c>
      <c r="C47" s="481" t="s">
        <v>54</v>
      </c>
      <c r="D47" s="477">
        <v>14700</v>
      </c>
      <c r="E47" s="477">
        <v>17300</v>
      </c>
      <c r="F47" s="477">
        <v>19900</v>
      </c>
      <c r="G47" s="477">
        <v>22500</v>
      </c>
      <c r="H47" s="477">
        <v>25100</v>
      </c>
      <c r="I47" s="477">
        <v>27700</v>
      </c>
      <c r="J47" s="477">
        <v>30300</v>
      </c>
      <c r="K47" s="478">
        <v>32900</v>
      </c>
      <c r="L47" s="478">
        <v>35500</v>
      </c>
      <c r="M47" s="478">
        <v>38100</v>
      </c>
      <c r="N47" s="478">
        <v>40700</v>
      </c>
      <c r="O47" s="478">
        <v>43300</v>
      </c>
      <c r="P47" s="478">
        <v>45900</v>
      </c>
      <c r="Q47" s="484"/>
      <c r="R47" s="506" t="s">
        <v>142</v>
      </c>
      <c r="S47" s="481" t="s">
        <v>54</v>
      </c>
      <c r="T47" s="477">
        <v>11600</v>
      </c>
      <c r="U47" s="477">
        <v>13200</v>
      </c>
      <c r="V47" s="477">
        <v>14800</v>
      </c>
      <c r="W47" s="477">
        <v>16400</v>
      </c>
      <c r="X47" s="478">
        <v>18000</v>
      </c>
      <c r="Y47" s="489"/>
      <c r="Z47" s="506" t="s">
        <v>395</v>
      </c>
      <c r="AA47" s="481" t="s">
        <v>396</v>
      </c>
      <c r="AB47" s="477">
        <v>14000</v>
      </c>
      <c r="AC47" s="477">
        <v>15800</v>
      </c>
      <c r="AD47" s="477">
        <v>17600</v>
      </c>
      <c r="AE47" s="477">
        <v>19400</v>
      </c>
      <c r="AF47" s="478">
        <v>21200</v>
      </c>
      <c r="AH47" s="476"/>
      <c r="AJ47" s="476"/>
    </row>
    <row r="48" spans="2:39" x14ac:dyDescent="0.25">
      <c r="B48" s="506"/>
      <c r="C48" s="481" t="s">
        <v>55</v>
      </c>
      <c r="D48" s="477">
        <v>17300</v>
      </c>
      <c r="E48" s="477">
        <v>19900</v>
      </c>
      <c r="F48" s="477">
        <v>22500</v>
      </c>
      <c r="G48" s="477">
        <v>25100</v>
      </c>
      <c r="H48" s="477">
        <v>27700</v>
      </c>
      <c r="I48" s="477">
        <v>30300</v>
      </c>
      <c r="J48" s="477">
        <v>32900</v>
      </c>
      <c r="K48" s="478">
        <v>35500</v>
      </c>
      <c r="L48" s="478">
        <v>38100</v>
      </c>
      <c r="M48" s="478">
        <v>40700</v>
      </c>
      <c r="N48" s="478">
        <v>43300</v>
      </c>
      <c r="O48" s="478">
        <v>45900</v>
      </c>
      <c r="P48" s="478">
        <v>48500</v>
      </c>
      <c r="Q48" s="484"/>
      <c r="R48" s="506"/>
      <c r="S48" s="481" t="s">
        <v>55</v>
      </c>
      <c r="T48" s="477">
        <v>13200</v>
      </c>
      <c r="U48" s="477">
        <v>14800</v>
      </c>
      <c r="V48" s="477">
        <v>16400</v>
      </c>
      <c r="W48" s="477">
        <v>18000</v>
      </c>
      <c r="X48" s="478">
        <v>19600</v>
      </c>
      <c r="Y48" s="489"/>
      <c r="Z48" s="506"/>
      <c r="AA48" s="481" t="s">
        <v>55</v>
      </c>
      <c r="AB48" s="477">
        <v>15800</v>
      </c>
      <c r="AC48" s="477">
        <v>17600</v>
      </c>
      <c r="AD48" s="477">
        <v>19400</v>
      </c>
      <c r="AE48" s="477">
        <v>21200</v>
      </c>
      <c r="AF48" s="478">
        <v>23000</v>
      </c>
      <c r="AH48" s="476"/>
      <c r="AI48" s="476"/>
      <c r="AJ48" s="476"/>
    </row>
    <row r="49" spans="2:36" x14ac:dyDescent="0.25">
      <c r="B49" s="506"/>
      <c r="C49" s="481" t="s">
        <v>56</v>
      </c>
      <c r="D49" s="477">
        <v>19900</v>
      </c>
      <c r="E49" s="477">
        <v>22500</v>
      </c>
      <c r="F49" s="477">
        <v>25100</v>
      </c>
      <c r="G49" s="477">
        <v>27700</v>
      </c>
      <c r="H49" s="477">
        <v>30300</v>
      </c>
      <c r="I49" s="477">
        <v>32900</v>
      </c>
      <c r="J49" s="477">
        <v>35500</v>
      </c>
      <c r="K49" s="478">
        <v>38100</v>
      </c>
      <c r="L49" s="478">
        <v>40700</v>
      </c>
      <c r="M49" s="478">
        <v>43300</v>
      </c>
      <c r="N49" s="478">
        <v>45900</v>
      </c>
      <c r="O49" s="478">
        <v>48500</v>
      </c>
      <c r="P49" s="478">
        <v>51100</v>
      </c>
      <c r="Q49" s="484"/>
      <c r="R49" s="506"/>
      <c r="S49" s="481" t="s">
        <v>56</v>
      </c>
      <c r="T49" s="477">
        <v>14800</v>
      </c>
      <c r="U49" s="477">
        <v>16400</v>
      </c>
      <c r="V49" s="477">
        <v>18000</v>
      </c>
      <c r="W49" s="477">
        <v>19600</v>
      </c>
      <c r="X49" s="478">
        <v>21200</v>
      </c>
      <c r="Y49" s="489"/>
      <c r="Z49" s="506"/>
      <c r="AA49" s="481" t="s">
        <v>56</v>
      </c>
      <c r="AB49" s="477">
        <v>17600</v>
      </c>
      <c r="AC49" s="477">
        <v>19400</v>
      </c>
      <c r="AD49" s="477">
        <v>21200</v>
      </c>
      <c r="AE49" s="477">
        <v>23000</v>
      </c>
      <c r="AF49" s="478">
        <v>24800</v>
      </c>
      <c r="AH49" s="476"/>
      <c r="AI49" s="476"/>
      <c r="AJ49" s="476"/>
    </row>
    <row r="50" spans="2:36" x14ac:dyDescent="0.25">
      <c r="B50" s="506"/>
      <c r="C50" s="481" t="s">
        <v>57</v>
      </c>
      <c r="D50" s="477">
        <v>22500</v>
      </c>
      <c r="E50" s="477">
        <v>25100</v>
      </c>
      <c r="F50" s="477">
        <v>27700</v>
      </c>
      <c r="G50" s="477">
        <v>30300</v>
      </c>
      <c r="H50" s="477">
        <v>32900</v>
      </c>
      <c r="I50" s="477">
        <v>35500</v>
      </c>
      <c r="J50" s="477">
        <v>38100</v>
      </c>
      <c r="K50" s="478">
        <v>40700</v>
      </c>
      <c r="L50" s="478">
        <v>43300</v>
      </c>
      <c r="M50" s="478">
        <v>45900</v>
      </c>
      <c r="N50" s="478">
        <v>48500</v>
      </c>
      <c r="O50" s="478">
        <v>51100</v>
      </c>
      <c r="P50" s="478">
        <v>53700</v>
      </c>
      <c r="Q50" s="484"/>
      <c r="R50" s="506"/>
      <c r="S50" s="481" t="s">
        <v>57</v>
      </c>
      <c r="T50" s="477">
        <v>16400</v>
      </c>
      <c r="U50" s="477">
        <v>18000</v>
      </c>
      <c r="V50" s="477">
        <v>19600</v>
      </c>
      <c r="W50" s="477">
        <v>21200</v>
      </c>
      <c r="X50" s="478">
        <v>22800</v>
      </c>
      <c r="Y50" s="489"/>
      <c r="Z50" s="506"/>
      <c r="AA50" s="481" t="s">
        <v>57</v>
      </c>
      <c r="AB50" s="477">
        <v>19400</v>
      </c>
      <c r="AC50" s="477">
        <v>21200</v>
      </c>
      <c r="AD50" s="477">
        <v>23000</v>
      </c>
      <c r="AE50" s="477">
        <v>24800</v>
      </c>
      <c r="AF50" s="478">
        <v>26600</v>
      </c>
      <c r="AH50" s="476"/>
      <c r="AI50" s="476"/>
      <c r="AJ50" s="476"/>
    </row>
    <row r="51" spans="2:36" x14ac:dyDescent="0.25">
      <c r="B51" s="506"/>
      <c r="C51" s="481" t="s">
        <v>58</v>
      </c>
      <c r="D51" s="477">
        <v>25100</v>
      </c>
      <c r="E51" s="477">
        <v>27700</v>
      </c>
      <c r="F51" s="477">
        <v>30300</v>
      </c>
      <c r="G51" s="477">
        <v>32900</v>
      </c>
      <c r="H51" s="477">
        <v>35500</v>
      </c>
      <c r="I51" s="477">
        <v>38100</v>
      </c>
      <c r="J51" s="477">
        <v>40700</v>
      </c>
      <c r="K51" s="478">
        <v>43300</v>
      </c>
      <c r="L51" s="478">
        <v>45900</v>
      </c>
      <c r="M51" s="478">
        <v>48500</v>
      </c>
      <c r="N51" s="478">
        <v>51100</v>
      </c>
      <c r="O51" s="478">
        <v>53700</v>
      </c>
      <c r="P51" s="478">
        <v>56300</v>
      </c>
      <c r="Q51" s="484"/>
      <c r="R51" s="506"/>
      <c r="S51" s="481" t="s">
        <v>58</v>
      </c>
      <c r="T51" s="477">
        <v>18000</v>
      </c>
      <c r="U51" s="477">
        <v>19600</v>
      </c>
      <c r="V51" s="477">
        <v>21200</v>
      </c>
      <c r="W51" s="477">
        <v>22800</v>
      </c>
      <c r="X51" s="478">
        <v>24400</v>
      </c>
      <c r="Y51" s="489"/>
      <c r="Z51" s="506"/>
      <c r="AA51" s="481" t="s">
        <v>58</v>
      </c>
      <c r="AB51" s="477">
        <v>21200</v>
      </c>
      <c r="AC51" s="477">
        <v>23000</v>
      </c>
      <c r="AD51" s="477">
        <v>24800</v>
      </c>
      <c r="AE51" s="477">
        <v>26600</v>
      </c>
      <c r="AF51" s="478">
        <v>28400</v>
      </c>
      <c r="AH51" s="476"/>
      <c r="AI51" s="476"/>
      <c r="AJ51" s="476"/>
    </row>
    <row r="52" spans="2:36" x14ac:dyDescent="0.25">
      <c r="B52" s="506"/>
      <c r="C52" s="481" t="s">
        <v>59</v>
      </c>
      <c r="D52" s="477">
        <v>27700</v>
      </c>
      <c r="E52" s="477">
        <v>30300</v>
      </c>
      <c r="F52" s="477">
        <v>32900</v>
      </c>
      <c r="G52" s="477">
        <v>35500</v>
      </c>
      <c r="H52" s="477">
        <v>38100</v>
      </c>
      <c r="I52" s="477">
        <v>40700</v>
      </c>
      <c r="J52" s="477">
        <v>43300</v>
      </c>
      <c r="K52" s="478">
        <v>45900</v>
      </c>
      <c r="L52" s="478">
        <v>48500</v>
      </c>
      <c r="M52" s="478">
        <v>51100</v>
      </c>
      <c r="N52" s="478">
        <v>53700</v>
      </c>
      <c r="O52" s="478">
        <v>56300</v>
      </c>
      <c r="P52" s="478">
        <v>58900</v>
      </c>
      <c r="Q52" s="484"/>
      <c r="R52" s="506"/>
      <c r="S52" s="481" t="s">
        <v>59</v>
      </c>
      <c r="T52" s="477">
        <v>19600</v>
      </c>
      <c r="U52" s="477">
        <v>21200</v>
      </c>
      <c r="V52" s="477">
        <v>22800</v>
      </c>
      <c r="W52" s="477">
        <v>24400</v>
      </c>
      <c r="X52" s="478">
        <v>26000</v>
      </c>
      <c r="Y52" s="489"/>
      <c r="Z52" s="506"/>
      <c r="AA52" s="481" t="s">
        <v>59</v>
      </c>
      <c r="AB52" s="477">
        <v>23000</v>
      </c>
      <c r="AC52" s="477">
        <v>24800</v>
      </c>
      <c r="AD52" s="477">
        <v>26600</v>
      </c>
      <c r="AE52" s="477">
        <v>28400</v>
      </c>
      <c r="AF52" s="478">
        <v>30200</v>
      </c>
      <c r="AH52" s="476"/>
      <c r="AI52" s="476"/>
      <c r="AJ52" s="476"/>
    </row>
    <row r="53" spans="2:36" x14ac:dyDescent="0.25">
      <c r="B53" s="506"/>
      <c r="C53" s="481" t="s">
        <v>60</v>
      </c>
      <c r="D53" s="477">
        <v>30300</v>
      </c>
      <c r="E53" s="477">
        <v>32900</v>
      </c>
      <c r="F53" s="477">
        <v>35500</v>
      </c>
      <c r="G53" s="477">
        <v>38100</v>
      </c>
      <c r="H53" s="477">
        <v>40700</v>
      </c>
      <c r="I53" s="477">
        <v>43300</v>
      </c>
      <c r="J53" s="477">
        <v>45900</v>
      </c>
      <c r="K53" s="478">
        <v>48500</v>
      </c>
      <c r="L53" s="478">
        <v>51100</v>
      </c>
      <c r="M53" s="478">
        <v>53700</v>
      </c>
      <c r="N53" s="478">
        <v>56300</v>
      </c>
      <c r="O53" s="478">
        <v>58900</v>
      </c>
      <c r="P53" s="478">
        <v>61500</v>
      </c>
      <c r="Q53" s="484"/>
      <c r="R53" s="506"/>
      <c r="S53" s="481" t="s">
        <v>60</v>
      </c>
      <c r="T53" s="477">
        <v>21200</v>
      </c>
      <c r="U53" s="477">
        <v>22800</v>
      </c>
      <c r="V53" s="477">
        <v>24400</v>
      </c>
      <c r="W53" s="477">
        <v>26000</v>
      </c>
      <c r="X53" s="478">
        <v>27600</v>
      </c>
      <c r="Y53" s="489"/>
      <c r="Z53" s="506"/>
      <c r="AA53" s="481" t="s">
        <v>60</v>
      </c>
      <c r="AB53" s="477">
        <v>24800</v>
      </c>
      <c r="AC53" s="477">
        <v>26600</v>
      </c>
      <c r="AD53" s="477">
        <v>28400</v>
      </c>
      <c r="AE53" s="477">
        <v>30200</v>
      </c>
      <c r="AF53" s="478">
        <v>32000</v>
      </c>
      <c r="AH53" s="476"/>
      <c r="AI53" s="476"/>
      <c r="AJ53" s="476"/>
    </row>
    <row r="54" spans="2:36" x14ac:dyDescent="0.25">
      <c r="B54" s="506"/>
      <c r="C54" s="481" t="s">
        <v>61</v>
      </c>
      <c r="D54" s="477">
        <v>32900</v>
      </c>
      <c r="E54" s="477">
        <v>35500</v>
      </c>
      <c r="F54" s="477">
        <v>38100</v>
      </c>
      <c r="G54" s="477">
        <v>40700</v>
      </c>
      <c r="H54" s="477">
        <v>43300</v>
      </c>
      <c r="I54" s="477">
        <v>45900</v>
      </c>
      <c r="J54" s="477">
        <v>48500</v>
      </c>
      <c r="K54" s="478">
        <v>51100</v>
      </c>
      <c r="L54" s="478">
        <v>53700</v>
      </c>
      <c r="M54" s="478">
        <v>56300</v>
      </c>
      <c r="N54" s="478">
        <v>58900</v>
      </c>
      <c r="O54" s="478">
        <v>61500</v>
      </c>
      <c r="P54" s="478">
        <v>64100</v>
      </c>
      <c r="Q54" s="484"/>
      <c r="R54" s="506"/>
      <c r="S54" s="481" t="s">
        <v>61</v>
      </c>
      <c r="T54" s="477">
        <v>22800</v>
      </c>
      <c r="U54" s="477">
        <v>24400</v>
      </c>
      <c r="V54" s="477">
        <v>26000</v>
      </c>
      <c r="W54" s="477">
        <v>27600</v>
      </c>
      <c r="X54" s="478">
        <v>29200</v>
      </c>
      <c r="Y54" s="489"/>
      <c r="Z54" s="506"/>
      <c r="AA54" s="481" t="s">
        <v>61</v>
      </c>
      <c r="AB54" s="477">
        <v>26600</v>
      </c>
      <c r="AC54" s="477">
        <v>28400</v>
      </c>
      <c r="AD54" s="477">
        <v>30200</v>
      </c>
      <c r="AE54" s="477">
        <v>32000</v>
      </c>
      <c r="AF54" s="478">
        <v>33800</v>
      </c>
      <c r="AH54" s="476"/>
      <c r="AI54" s="476"/>
      <c r="AJ54" s="476"/>
    </row>
    <row r="55" spans="2:36" x14ac:dyDescent="0.25">
      <c r="B55" s="506"/>
      <c r="C55" s="481" t="s">
        <v>62</v>
      </c>
      <c r="D55" s="477">
        <v>35500</v>
      </c>
      <c r="E55" s="477">
        <v>38100</v>
      </c>
      <c r="F55" s="477">
        <v>40700</v>
      </c>
      <c r="G55" s="477">
        <v>43300</v>
      </c>
      <c r="H55" s="477">
        <v>45900</v>
      </c>
      <c r="I55" s="477">
        <v>48500</v>
      </c>
      <c r="J55" s="477">
        <v>51100</v>
      </c>
      <c r="K55" s="478">
        <v>53700</v>
      </c>
      <c r="L55" s="478">
        <v>56300</v>
      </c>
      <c r="M55" s="478">
        <v>58900</v>
      </c>
      <c r="N55" s="478">
        <v>61500</v>
      </c>
      <c r="O55" s="478">
        <v>64100</v>
      </c>
      <c r="P55" s="478">
        <v>66700</v>
      </c>
      <c r="Q55" s="484"/>
      <c r="R55" s="506"/>
      <c r="S55" s="481" t="s">
        <v>62</v>
      </c>
      <c r="T55" s="477">
        <v>24400</v>
      </c>
      <c r="U55" s="477">
        <v>26000</v>
      </c>
      <c r="V55" s="477">
        <v>27600</v>
      </c>
      <c r="W55" s="477">
        <v>29200</v>
      </c>
      <c r="X55" s="478">
        <v>30800</v>
      </c>
      <c r="Y55" s="489"/>
      <c r="Z55" s="506"/>
      <c r="AA55" s="481" t="s">
        <v>62</v>
      </c>
      <c r="AB55" s="477">
        <v>28400</v>
      </c>
      <c r="AC55" s="477">
        <v>30200</v>
      </c>
      <c r="AD55" s="477">
        <v>32000</v>
      </c>
      <c r="AE55" s="477">
        <v>33800</v>
      </c>
      <c r="AF55" s="478">
        <v>35600</v>
      </c>
      <c r="AH55" s="476"/>
      <c r="AI55" s="476"/>
      <c r="AJ55" s="476"/>
    </row>
    <row r="56" spans="2:36" x14ac:dyDescent="0.25">
      <c r="B56" s="506"/>
      <c r="C56" s="481" t="s">
        <v>63</v>
      </c>
      <c r="D56" s="477">
        <v>38100</v>
      </c>
      <c r="E56" s="477">
        <v>40700</v>
      </c>
      <c r="F56" s="477">
        <v>43300</v>
      </c>
      <c r="G56" s="477">
        <v>45900</v>
      </c>
      <c r="H56" s="477">
        <v>48500</v>
      </c>
      <c r="I56" s="477">
        <v>51100</v>
      </c>
      <c r="J56" s="477">
        <v>53700</v>
      </c>
      <c r="K56" s="478">
        <v>56300</v>
      </c>
      <c r="L56" s="478">
        <v>58900</v>
      </c>
      <c r="M56" s="478">
        <v>61500</v>
      </c>
      <c r="N56" s="478">
        <v>64100</v>
      </c>
      <c r="O56" s="478">
        <v>66700</v>
      </c>
      <c r="P56" s="478">
        <v>69300</v>
      </c>
      <c r="Q56" s="484"/>
      <c r="R56" s="506"/>
      <c r="S56" s="481" t="s">
        <v>63</v>
      </c>
      <c r="T56" s="477">
        <v>26000</v>
      </c>
      <c r="U56" s="477">
        <v>27600</v>
      </c>
      <c r="V56" s="477">
        <v>29200</v>
      </c>
      <c r="W56" s="477">
        <v>30800</v>
      </c>
      <c r="X56" s="478">
        <v>32400</v>
      </c>
      <c r="Y56" s="489"/>
      <c r="Z56" s="506"/>
      <c r="AA56" s="481" t="s">
        <v>63</v>
      </c>
      <c r="AB56" s="477">
        <v>30200</v>
      </c>
      <c r="AC56" s="477">
        <v>32000</v>
      </c>
      <c r="AD56" s="477">
        <v>33800</v>
      </c>
      <c r="AE56" s="477">
        <v>35600</v>
      </c>
      <c r="AF56" s="478">
        <v>37400</v>
      </c>
      <c r="AH56" s="476"/>
      <c r="AI56" s="476"/>
      <c r="AJ56" s="476"/>
    </row>
    <row r="57" spans="2:36" x14ac:dyDescent="0.25">
      <c r="B57" s="506"/>
      <c r="C57" s="481" t="s">
        <v>64</v>
      </c>
      <c r="D57" s="477">
        <v>40700</v>
      </c>
      <c r="E57" s="477">
        <v>43300</v>
      </c>
      <c r="F57" s="477">
        <v>45900</v>
      </c>
      <c r="G57" s="477">
        <v>48500</v>
      </c>
      <c r="H57" s="477">
        <v>51100</v>
      </c>
      <c r="I57" s="477">
        <v>53700</v>
      </c>
      <c r="J57" s="477">
        <v>56300</v>
      </c>
      <c r="K57" s="478">
        <v>58900</v>
      </c>
      <c r="L57" s="478">
        <v>61500</v>
      </c>
      <c r="M57" s="478">
        <v>64100</v>
      </c>
      <c r="N57" s="478">
        <v>66700</v>
      </c>
      <c r="O57" s="478">
        <v>69300</v>
      </c>
      <c r="P57" s="478">
        <v>71900</v>
      </c>
      <c r="Q57" s="484"/>
      <c r="R57" s="506"/>
      <c r="S57" s="481" t="s">
        <v>64</v>
      </c>
      <c r="T57" s="477">
        <v>27600</v>
      </c>
      <c r="U57" s="477">
        <v>29200</v>
      </c>
      <c r="V57" s="477">
        <v>30800</v>
      </c>
      <c r="W57" s="477">
        <v>32400</v>
      </c>
      <c r="X57" s="478">
        <v>34000</v>
      </c>
      <c r="Y57" s="489"/>
      <c r="Z57" s="506"/>
      <c r="AA57" s="481" t="s">
        <v>64</v>
      </c>
      <c r="AB57" s="477">
        <v>32000</v>
      </c>
      <c r="AC57" s="477">
        <v>33800</v>
      </c>
      <c r="AD57" s="477">
        <v>35600</v>
      </c>
      <c r="AE57" s="477">
        <v>37400</v>
      </c>
      <c r="AF57" s="478">
        <v>39200</v>
      </c>
      <c r="AH57" s="476"/>
      <c r="AI57" s="476"/>
      <c r="AJ57" s="476"/>
    </row>
    <row r="58" spans="2:36" x14ac:dyDescent="0.25">
      <c r="B58" s="506"/>
      <c r="C58" s="481" t="s">
        <v>65</v>
      </c>
      <c r="D58" s="477">
        <v>43300</v>
      </c>
      <c r="E58" s="477">
        <v>45900</v>
      </c>
      <c r="F58" s="477">
        <v>48500</v>
      </c>
      <c r="G58" s="477">
        <v>51100</v>
      </c>
      <c r="H58" s="477">
        <v>53700</v>
      </c>
      <c r="I58" s="477">
        <v>56300</v>
      </c>
      <c r="J58" s="477">
        <v>58900</v>
      </c>
      <c r="K58" s="478">
        <v>61500</v>
      </c>
      <c r="L58" s="478">
        <v>64100</v>
      </c>
      <c r="M58" s="478">
        <v>66700</v>
      </c>
      <c r="N58" s="478">
        <v>69300</v>
      </c>
      <c r="O58" s="478">
        <v>71900</v>
      </c>
      <c r="P58" s="478">
        <v>74500</v>
      </c>
      <c r="Q58" s="484"/>
      <c r="R58" s="506"/>
      <c r="S58" s="481" t="s">
        <v>65</v>
      </c>
      <c r="T58" s="477">
        <v>29200</v>
      </c>
      <c r="U58" s="477">
        <v>30800</v>
      </c>
      <c r="V58" s="477">
        <v>32400</v>
      </c>
      <c r="W58" s="477">
        <v>34000</v>
      </c>
      <c r="X58" s="478">
        <v>35600</v>
      </c>
      <c r="Y58" s="489"/>
      <c r="Z58" s="506"/>
      <c r="AA58" s="481" t="s">
        <v>65</v>
      </c>
      <c r="AB58" s="477">
        <v>33800</v>
      </c>
      <c r="AC58" s="477">
        <v>35600</v>
      </c>
      <c r="AD58" s="477">
        <v>37400</v>
      </c>
      <c r="AE58" s="477">
        <v>39200</v>
      </c>
      <c r="AF58" s="478">
        <v>41000</v>
      </c>
      <c r="AH58" s="476"/>
      <c r="AI58" s="476"/>
      <c r="AJ58" s="476"/>
    </row>
    <row r="59" spans="2:36" x14ac:dyDescent="0.25">
      <c r="B59" s="506"/>
      <c r="C59" s="481" t="s">
        <v>66</v>
      </c>
      <c r="D59" s="477">
        <v>45900</v>
      </c>
      <c r="E59" s="477">
        <v>48500</v>
      </c>
      <c r="F59" s="477">
        <v>51100</v>
      </c>
      <c r="G59" s="477">
        <v>53700</v>
      </c>
      <c r="H59" s="477">
        <v>56300</v>
      </c>
      <c r="I59" s="477">
        <v>58900</v>
      </c>
      <c r="J59" s="477">
        <v>61500</v>
      </c>
      <c r="K59" s="478">
        <v>64100</v>
      </c>
      <c r="L59" s="478">
        <v>66700</v>
      </c>
      <c r="M59" s="478">
        <v>69300</v>
      </c>
      <c r="N59" s="478">
        <v>71900</v>
      </c>
      <c r="O59" s="478">
        <v>74500</v>
      </c>
      <c r="P59" s="478">
        <v>77100</v>
      </c>
      <c r="Q59" s="484"/>
      <c r="R59" s="506"/>
      <c r="S59" s="481" t="s">
        <v>66</v>
      </c>
      <c r="T59" s="477">
        <v>30800</v>
      </c>
      <c r="U59" s="477">
        <v>32400</v>
      </c>
      <c r="V59" s="477">
        <v>34000</v>
      </c>
      <c r="W59" s="477">
        <v>35600</v>
      </c>
      <c r="X59" s="478">
        <v>37200</v>
      </c>
      <c r="Y59" s="489"/>
      <c r="Z59" s="506"/>
      <c r="AA59" s="481" t="s">
        <v>66</v>
      </c>
      <c r="AB59" s="477">
        <v>35600</v>
      </c>
      <c r="AC59" s="477">
        <v>37400</v>
      </c>
      <c r="AD59" s="477">
        <v>39200</v>
      </c>
      <c r="AE59" s="477">
        <v>41000</v>
      </c>
      <c r="AF59" s="478">
        <v>42800</v>
      </c>
      <c r="AH59" s="476"/>
      <c r="AI59" s="476"/>
      <c r="AJ59" s="476"/>
    </row>
    <row r="60" spans="2:36" x14ac:dyDescent="0.25">
      <c r="B60" s="506"/>
      <c r="C60" s="481" t="s">
        <v>67</v>
      </c>
      <c r="D60" s="477">
        <v>48500</v>
      </c>
      <c r="E60" s="477">
        <v>51100</v>
      </c>
      <c r="F60" s="477">
        <v>53700</v>
      </c>
      <c r="G60" s="477">
        <v>56300</v>
      </c>
      <c r="H60" s="477">
        <v>58900</v>
      </c>
      <c r="I60" s="477">
        <v>61500</v>
      </c>
      <c r="J60" s="477">
        <v>64100</v>
      </c>
      <c r="K60" s="478">
        <v>66700</v>
      </c>
      <c r="L60" s="478">
        <v>69300</v>
      </c>
      <c r="M60" s="478">
        <v>71900</v>
      </c>
      <c r="N60" s="478">
        <v>74500</v>
      </c>
      <c r="O60" s="478">
        <v>77100</v>
      </c>
      <c r="P60" s="478">
        <v>79700</v>
      </c>
      <c r="Q60" s="484"/>
      <c r="R60" s="506"/>
      <c r="S60" s="481" t="s">
        <v>67</v>
      </c>
      <c r="T60" s="477">
        <v>32400</v>
      </c>
      <c r="U60" s="477">
        <v>34000</v>
      </c>
      <c r="V60" s="477">
        <v>35600</v>
      </c>
      <c r="W60" s="477">
        <v>37200</v>
      </c>
      <c r="X60" s="478">
        <v>38800</v>
      </c>
      <c r="Y60" s="489"/>
      <c r="Z60" s="506"/>
      <c r="AA60" s="481" t="s">
        <v>67</v>
      </c>
      <c r="AB60" s="477">
        <v>37400</v>
      </c>
      <c r="AC60" s="477">
        <v>39200</v>
      </c>
      <c r="AD60" s="477">
        <v>41000</v>
      </c>
      <c r="AE60" s="477">
        <v>42800</v>
      </c>
      <c r="AF60" s="478">
        <v>44600</v>
      </c>
      <c r="AH60" s="476"/>
      <c r="AI60" s="476"/>
      <c r="AJ60" s="476"/>
    </row>
    <row r="61" spans="2:36" x14ac:dyDescent="0.25">
      <c r="B61" s="506"/>
      <c r="C61" s="481" t="s">
        <v>68</v>
      </c>
      <c r="D61" s="477">
        <v>51100</v>
      </c>
      <c r="E61" s="477">
        <v>53700</v>
      </c>
      <c r="F61" s="477">
        <v>56300</v>
      </c>
      <c r="G61" s="477">
        <v>58900</v>
      </c>
      <c r="H61" s="477">
        <v>61500</v>
      </c>
      <c r="I61" s="477">
        <v>64100</v>
      </c>
      <c r="J61" s="477">
        <v>66700</v>
      </c>
      <c r="K61" s="478">
        <v>69300</v>
      </c>
      <c r="L61" s="478">
        <v>71900</v>
      </c>
      <c r="M61" s="478">
        <v>74500</v>
      </c>
      <c r="N61" s="478">
        <v>77100</v>
      </c>
      <c r="O61" s="478">
        <v>79700</v>
      </c>
      <c r="P61" s="478">
        <v>82300</v>
      </c>
      <c r="Q61" s="484"/>
      <c r="R61" s="506"/>
      <c r="S61" s="481" t="s">
        <v>68</v>
      </c>
      <c r="T61" s="477">
        <v>34000</v>
      </c>
      <c r="U61" s="477">
        <v>35600</v>
      </c>
      <c r="V61" s="477">
        <v>37200</v>
      </c>
      <c r="W61" s="477">
        <v>38800</v>
      </c>
      <c r="X61" s="478">
        <v>40400</v>
      </c>
      <c r="Y61" s="489"/>
      <c r="Z61" s="506"/>
      <c r="AA61" s="481" t="s">
        <v>68</v>
      </c>
      <c r="AB61" s="477">
        <v>39200</v>
      </c>
      <c r="AC61" s="477">
        <v>41000</v>
      </c>
      <c r="AD61" s="477">
        <v>42800</v>
      </c>
      <c r="AE61" s="477">
        <v>44600</v>
      </c>
      <c r="AF61" s="478">
        <v>46400</v>
      </c>
      <c r="AH61" s="476"/>
      <c r="AI61" s="476"/>
      <c r="AJ61" s="476"/>
    </row>
    <row r="62" spans="2:36" x14ac:dyDescent="0.25">
      <c r="B62" s="506"/>
      <c r="C62" s="481" t="s">
        <v>69</v>
      </c>
      <c r="D62" s="477">
        <v>53700</v>
      </c>
      <c r="E62" s="477">
        <v>56300</v>
      </c>
      <c r="F62" s="477">
        <v>58900</v>
      </c>
      <c r="G62" s="477">
        <v>61500</v>
      </c>
      <c r="H62" s="477">
        <v>64100</v>
      </c>
      <c r="I62" s="477">
        <v>66700</v>
      </c>
      <c r="J62" s="477">
        <v>69300</v>
      </c>
      <c r="K62" s="478">
        <v>71900</v>
      </c>
      <c r="L62" s="478">
        <v>74500</v>
      </c>
      <c r="M62" s="478">
        <v>77100</v>
      </c>
      <c r="N62" s="478">
        <v>79700</v>
      </c>
      <c r="O62" s="478">
        <v>82300</v>
      </c>
      <c r="P62" s="478">
        <v>84900</v>
      </c>
      <c r="Q62" s="484"/>
      <c r="R62" s="506"/>
      <c r="S62" s="481" t="s">
        <v>69</v>
      </c>
      <c r="T62" s="477">
        <v>35600</v>
      </c>
      <c r="U62" s="477">
        <v>37200</v>
      </c>
      <c r="V62" s="477">
        <v>38800</v>
      </c>
      <c r="W62" s="477">
        <v>40400</v>
      </c>
      <c r="X62" s="478">
        <v>42000</v>
      </c>
      <c r="Y62" s="489"/>
      <c r="Z62" s="506"/>
      <c r="AA62" s="481" t="s">
        <v>69</v>
      </c>
      <c r="AB62" s="477">
        <v>41000</v>
      </c>
      <c r="AC62" s="477">
        <v>42800</v>
      </c>
      <c r="AD62" s="477">
        <v>44600</v>
      </c>
      <c r="AE62" s="477">
        <v>46400</v>
      </c>
      <c r="AF62" s="478">
        <v>48200</v>
      </c>
      <c r="AH62" s="476"/>
      <c r="AI62" s="476"/>
      <c r="AJ62" s="476"/>
    </row>
    <row r="63" spans="2:36" x14ac:dyDescent="0.25">
      <c r="B63" s="506"/>
      <c r="C63" s="481" t="s">
        <v>70</v>
      </c>
      <c r="D63" s="477">
        <v>56300</v>
      </c>
      <c r="E63" s="477">
        <v>58900</v>
      </c>
      <c r="F63" s="477">
        <v>61500</v>
      </c>
      <c r="G63" s="477">
        <v>64100</v>
      </c>
      <c r="H63" s="477">
        <v>66700</v>
      </c>
      <c r="I63" s="477">
        <v>69300</v>
      </c>
      <c r="J63" s="477">
        <v>71900</v>
      </c>
      <c r="K63" s="478">
        <v>74500</v>
      </c>
      <c r="L63" s="478">
        <v>77100</v>
      </c>
      <c r="M63" s="478">
        <v>79700</v>
      </c>
      <c r="N63" s="478">
        <v>82300</v>
      </c>
      <c r="O63" s="478">
        <v>84900</v>
      </c>
      <c r="P63" s="478">
        <v>87500</v>
      </c>
      <c r="Q63" s="484"/>
      <c r="R63" s="506"/>
      <c r="S63" s="481" t="s">
        <v>70</v>
      </c>
      <c r="T63" s="477">
        <v>37200</v>
      </c>
      <c r="U63" s="477">
        <v>38800</v>
      </c>
      <c r="V63" s="477">
        <v>40400</v>
      </c>
      <c r="W63" s="477">
        <v>42000</v>
      </c>
      <c r="X63" s="478">
        <v>43600</v>
      </c>
      <c r="Y63" s="489"/>
      <c r="Z63" s="506"/>
      <c r="AA63" s="481" t="s">
        <v>70</v>
      </c>
      <c r="AB63" s="477">
        <v>42800</v>
      </c>
      <c r="AC63" s="477">
        <v>44600</v>
      </c>
      <c r="AD63" s="477">
        <v>46400</v>
      </c>
      <c r="AE63" s="477">
        <v>48200</v>
      </c>
      <c r="AF63" s="478">
        <v>50000</v>
      </c>
      <c r="AH63" s="476"/>
      <c r="AI63" s="476"/>
      <c r="AJ63" s="476"/>
    </row>
    <row r="64" spans="2:36" x14ac:dyDescent="0.25">
      <c r="B64" s="506"/>
      <c r="C64" s="481" t="s">
        <v>71</v>
      </c>
      <c r="D64" s="477">
        <v>58900</v>
      </c>
      <c r="E64" s="477">
        <v>61500</v>
      </c>
      <c r="F64" s="477">
        <v>64100</v>
      </c>
      <c r="G64" s="477">
        <v>66700</v>
      </c>
      <c r="H64" s="477">
        <v>69300</v>
      </c>
      <c r="I64" s="477">
        <v>71900</v>
      </c>
      <c r="J64" s="477">
        <v>74500</v>
      </c>
      <c r="K64" s="478">
        <v>77100</v>
      </c>
      <c r="L64" s="478">
        <v>79700</v>
      </c>
      <c r="M64" s="478">
        <v>82300</v>
      </c>
      <c r="N64" s="478">
        <v>84900</v>
      </c>
      <c r="O64" s="478">
        <v>87500</v>
      </c>
      <c r="P64" s="478">
        <v>90100</v>
      </c>
      <c r="Q64" s="484"/>
      <c r="R64" s="506"/>
      <c r="S64" s="481" t="s">
        <v>71</v>
      </c>
      <c r="T64" s="477">
        <v>38800</v>
      </c>
      <c r="U64" s="477">
        <v>40400</v>
      </c>
      <c r="V64" s="477">
        <v>42000</v>
      </c>
      <c r="W64" s="477">
        <v>43600</v>
      </c>
      <c r="X64" s="478">
        <v>45200</v>
      </c>
      <c r="Y64" s="489"/>
      <c r="Z64" s="506"/>
      <c r="AA64" s="481" t="s">
        <v>71</v>
      </c>
      <c r="AB64" s="477">
        <v>44600</v>
      </c>
      <c r="AC64" s="477">
        <v>46400</v>
      </c>
      <c r="AD64" s="477">
        <v>48200</v>
      </c>
      <c r="AE64" s="477">
        <v>50000</v>
      </c>
      <c r="AF64" s="478">
        <v>51800</v>
      </c>
      <c r="AH64" s="476"/>
      <c r="AI64" s="476"/>
      <c r="AJ64" s="476"/>
    </row>
    <row r="65" spans="2:36" x14ac:dyDescent="0.25">
      <c r="B65" s="506"/>
      <c r="C65" s="481" t="s">
        <v>72</v>
      </c>
      <c r="D65" s="477">
        <v>61500</v>
      </c>
      <c r="E65" s="477">
        <v>64100</v>
      </c>
      <c r="F65" s="477">
        <v>66700</v>
      </c>
      <c r="G65" s="477">
        <v>69300</v>
      </c>
      <c r="H65" s="477">
        <v>71900</v>
      </c>
      <c r="I65" s="477">
        <v>74500</v>
      </c>
      <c r="J65" s="477">
        <v>77100</v>
      </c>
      <c r="K65" s="478">
        <v>79700</v>
      </c>
      <c r="L65" s="478">
        <v>82300</v>
      </c>
      <c r="M65" s="478">
        <v>84900</v>
      </c>
      <c r="N65" s="478">
        <v>87500</v>
      </c>
      <c r="O65" s="478">
        <v>90100</v>
      </c>
      <c r="P65" s="478">
        <v>92700</v>
      </c>
      <c r="Q65" s="484"/>
      <c r="R65" s="506"/>
      <c r="S65" s="481" t="s">
        <v>72</v>
      </c>
      <c r="T65" s="477">
        <v>40400</v>
      </c>
      <c r="U65" s="477">
        <v>42000</v>
      </c>
      <c r="V65" s="477">
        <v>43600</v>
      </c>
      <c r="W65" s="477">
        <v>45200</v>
      </c>
      <c r="X65" s="478">
        <v>46800</v>
      </c>
      <c r="Y65" s="489"/>
      <c r="Z65" s="506"/>
      <c r="AA65" s="481" t="s">
        <v>72</v>
      </c>
      <c r="AB65" s="477">
        <v>46400</v>
      </c>
      <c r="AC65" s="477">
        <v>48200</v>
      </c>
      <c r="AD65" s="477">
        <v>50000</v>
      </c>
      <c r="AE65" s="477">
        <v>51800</v>
      </c>
      <c r="AF65" s="478">
        <v>53600</v>
      </c>
      <c r="AH65" s="476"/>
      <c r="AI65" s="476"/>
      <c r="AJ65" s="476"/>
    </row>
    <row r="66" spans="2:36" x14ac:dyDescent="0.25">
      <c r="B66" s="506"/>
      <c r="C66" s="481" t="s">
        <v>73</v>
      </c>
      <c r="D66" s="477">
        <v>64100</v>
      </c>
      <c r="E66" s="477">
        <v>66700</v>
      </c>
      <c r="F66" s="477">
        <v>69300</v>
      </c>
      <c r="G66" s="477">
        <v>71900</v>
      </c>
      <c r="H66" s="477">
        <v>74500</v>
      </c>
      <c r="I66" s="477">
        <v>77100</v>
      </c>
      <c r="J66" s="477">
        <v>79700</v>
      </c>
      <c r="K66" s="478">
        <v>82300</v>
      </c>
      <c r="L66" s="478">
        <v>84900</v>
      </c>
      <c r="M66" s="478">
        <v>87500</v>
      </c>
      <c r="N66" s="478">
        <v>90100</v>
      </c>
      <c r="O66" s="478">
        <v>92700</v>
      </c>
      <c r="P66" s="478">
        <v>95300</v>
      </c>
      <c r="Q66" s="484"/>
      <c r="R66" s="506"/>
      <c r="S66" s="481" t="s">
        <v>73</v>
      </c>
      <c r="T66" s="477">
        <v>42000</v>
      </c>
      <c r="U66" s="477">
        <v>43600</v>
      </c>
      <c r="V66" s="477">
        <v>45200</v>
      </c>
      <c r="W66" s="477">
        <v>46800</v>
      </c>
      <c r="X66" s="478">
        <v>48400</v>
      </c>
      <c r="Y66" s="489"/>
      <c r="Z66" s="506"/>
      <c r="AA66" s="481" t="s">
        <v>73</v>
      </c>
      <c r="AB66" s="477">
        <v>48200</v>
      </c>
      <c r="AC66" s="477">
        <v>50000</v>
      </c>
      <c r="AD66" s="477">
        <v>51800</v>
      </c>
      <c r="AE66" s="477">
        <v>53600</v>
      </c>
      <c r="AF66" s="478">
        <v>55400</v>
      </c>
      <c r="AH66" s="476"/>
      <c r="AI66" s="476"/>
      <c r="AJ66" s="476"/>
    </row>
    <row r="67" spans="2:36" x14ac:dyDescent="0.25">
      <c r="B67" s="506"/>
      <c r="C67" s="481" t="s">
        <v>74</v>
      </c>
      <c r="D67" s="477">
        <v>66700</v>
      </c>
      <c r="E67" s="477">
        <v>69300</v>
      </c>
      <c r="F67" s="477">
        <v>71900</v>
      </c>
      <c r="G67" s="477">
        <v>74500</v>
      </c>
      <c r="H67" s="477">
        <v>77100</v>
      </c>
      <c r="I67" s="477">
        <v>79700</v>
      </c>
      <c r="J67" s="477">
        <v>82300</v>
      </c>
      <c r="K67" s="478">
        <v>84900</v>
      </c>
      <c r="L67" s="478">
        <v>87500</v>
      </c>
      <c r="M67" s="478">
        <v>90100</v>
      </c>
      <c r="N67" s="478">
        <v>92700</v>
      </c>
      <c r="O67" s="478">
        <v>95300</v>
      </c>
      <c r="P67" s="478">
        <v>97900</v>
      </c>
      <c r="Q67" s="484"/>
      <c r="R67" s="506"/>
      <c r="S67" s="481" t="s">
        <v>74</v>
      </c>
      <c r="T67" s="477">
        <v>43600</v>
      </c>
      <c r="U67" s="477">
        <v>45200</v>
      </c>
      <c r="V67" s="477">
        <v>46800</v>
      </c>
      <c r="W67" s="477">
        <v>48400</v>
      </c>
      <c r="X67" s="478">
        <v>50000</v>
      </c>
      <c r="Y67" s="489"/>
      <c r="Z67" s="506"/>
      <c r="AA67" s="481" t="s">
        <v>74</v>
      </c>
      <c r="AB67" s="477">
        <v>50000</v>
      </c>
      <c r="AC67" s="477">
        <v>51800</v>
      </c>
      <c r="AD67" s="477">
        <v>53600</v>
      </c>
      <c r="AE67" s="477">
        <v>55400</v>
      </c>
      <c r="AF67" s="478">
        <v>57200</v>
      </c>
      <c r="AH67" s="476"/>
      <c r="AI67" s="476"/>
      <c r="AJ67" s="476"/>
    </row>
    <row r="68" spans="2:36" x14ac:dyDescent="0.25">
      <c r="B68" s="506"/>
      <c r="C68" s="481" t="s">
        <v>75</v>
      </c>
      <c r="D68" s="477">
        <v>69300</v>
      </c>
      <c r="E68" s="477">
        <v>71900</v>
      </c>
      <c r="F68" s="477">
        <v>74500</v>
      </c>
      <c r="G68" s="477">
        <v>77100</v>
      </c>
      <c r="H68" s="477">
        <v>79700</v>
      </c>
      <c r="I68" s="477">
        <v>82300</v>
      </c>
      <c r="J68" s="477">
        <v>84900</v>
      </c>
      <c r="K68" s="478">
        <v>87500</v>
      </c>
      <c r="L68" s="478">
        <v>90100</v>
      </c>
      <c r="M68" s="478">
        <v>92700</v>
      </c>
      <c r="N68" s="478">
        <v>95300</v>
      </c>
      <c r="O68" s="478">
        <v>97900</v>
      </c>
      <c r="P68" s="478">
        <v>100500</v>
      </c>
      <c r="Q68" s="484"/>
      <c r="R68" s="506"/>
      <c r="S68" s="481" t="s">
        <v>75</v>
      </c>
      <c r="T68" s="477">
        <v>45200</v>
      </c>
      <c r="U68" s="477">
        <v>46800</v>
      </c>
      <c r="V68" s="477">
        <v>48400</v>
      </c>
      <c r="W68" s="477">
        <v>50000</v>
      </c>
      <c r="X68" s="478">
        <v>51600</v>
      </c>
      <c r="Y68" s="489"/>
      <c r="Z68" s="506"/>
      <c r="AA68" s="481" t="s">
        <v>75</v>
      </c>
      <c r="AB68" s="477">
        <v>51800</v>
      </c>
      <c r="AC68" s="477">
        <v>53600</v>
      </c>
      <c r="AD68" s="477">
        <v>55400</v>
      </c>
      <c r="AE68" s="477">
        <v>57200</v>
      </c>
      <c r="AF68" s="478">
        <v>59000</v>
      </c>
      <c r="AH68" s="476"/>
      <c r="AI68" s="476"/>
      <c r="AJ68" s="476"/>
    </row>
    <row r="69" spans="2:36" x14ac:dyDescent="0.25">
      <c r="B69" s="506"/>
      <c r="C69" s="481" t="s">
        <v>76</v>
      </c>
      <c r="D69" s="477">
        <v>71900</v>
      </c>
      <c r="E69" s="477">
        <v>74500</v>
      </c>
      <c r="F69" s="477">
        <v>77100</v>
      </c>
      <c r="G69" s="477">
        <v>79700</v>
      </c>
      <c r="H69" s="477">
        <v>82300</v>
      </c>
      <c r="I69" s="477">
        <v>84900</v>
      </c>
      <c r="J69" s="477">
        <v>87500</v>
      </c>
      <c r="K69" s="478">
        <v>90100</v>
      </c>
      <c r="L69" s="478">
        <v>92700</v>
      </c>
      <c r="M69" s="478">
        <v>95300</v>
      </c>
      <c r="N69" s="478">
        <v>97900</v>
      </c>
      <c r="O69" s="478">
        <v>100500</v>
      </c>
      <c r="P69" s="478">
        <v>103100</v>
      </c>
      <c r="Q69" s="484"/>
      <c r="R69" s="506"/>
      <c r="S69" s="481" t="s">
        <v>76</v>
      </c>
      <c r="T69" s="477">
        <v>46800</v>
      </c>
      <c r="U69" s="477">
        <v>48400</v>
      </c>
      <c r="V69" s="477">
        <v>50000</v>
      </c>
      <c r="W69" s="477">
        <v>51600</v>
      </c>
      <c r="X69" s="478">
        <v>53200</v>
      </c>
      <c r="Y69" s="489"/>
      <c r="Z69" s="506"/>
      <c r="AA69" s="481" t="s">
        <v>76</v>
      </c>
      <c r="AB69" s="477">
        <v>53600</v>
      </c>
      <c r="AC69" s="477">
        <v>55400</v>
      </c>
      <c r="AD69" s="477">
        <v>57200</v>
      </c>
      <c r="AE69" s="477">
        <v>59000</v>
      </c>
      <c r="AF69" s="478">
        <v>60800</v>
      </c>
      <c r="AH69" s="476"/>
      <c r="AI69" s="476"/>
      <c r="AJ69" s="476"/>
    </row>
    <row r="70" spans="2:36" x14ac:dyDescent="0.25">
      <c r="B70" s="506"/>
      <c r="C70" s="481" t="s">
        <v>77</v>
      </c>
      <c r="D70" s="477">
        <v>74500</v>
      </c>
      <c r="E70" s="477">
        <v>77100</v>
      </c>
      <c r="F70" s="477">
        <v>79700</v>
      </c>
      <c r="G70" s="477">
        <v>82300</v>
      </c>
      <c r="H70" s="477">
        <v>84900</v>
      </c>
      <c r="I70" s="477">
        <v>87500</v>
      </c>
      <c r="J70" s="477">
        <v>90100</v>
      </c>
      <c r="K70" s="478">
        <v>92700</v>
      </c>
      <c r="L70" s="478">
        <v>95300</v>
      </c>
      <c r="M70" s="478">
        <v>97900</v>
      </c>
      <c r="N70" s="478">
        <v>100500</v>
      </c>
      <c r="O70" s="478">
        <v>103100</v>
      </c>
      <c r="P70" s="478">
        <v>105700</v>
      </c>
      <c r="Q70" s="484"/>
      <c r="R70" s="506"/>
      <c r="S70" s="481" t="s">
        <v>77</v>
      </c>
      <c r="T70" s="477">
        <v>48400</v>
      </c>
      <c r="U70" s="477">
        <v>50000</v>
      </c>
      <c r="V70" s="477">
        <v>51600</v>
      </c>
      <c r="W70" s="477">
        <v>53200</v>
      </c>
      <c r="X70" s="478">
        <v>54800</v>
      </c>
      <c r="Y70" s="489"/>
      <c r="Z70" s="506"/>
      <c r="AA70" s="481" t="s">
        <v>77</v>
      </c>
      <c r="AB70" s="477">
        <v>55400</v>
      </c>
      <c r="AC70" s="477">
        <v>57200</v>
      </c>
      <c r="AD70" s="477">
        <v>59000</v>
      </c>
      <c r="AE70" s="477">
        <v>60800</v>
      </c>
      <c r="AF70" s="478">
        <v>62600</v>
      </c>
      <c r="AH70" s="476"/>
      <c r="AI70" s="476"/>
      <c r="AJ70" s="476"/>
    </row>
    <row r="71" spans="2:36" x14ac:dyDescent="0.25">
      <c r="B71" s="506"/>
      <c r="C71" s="481" t="s">
        <v>78</v>
      </c>
      <c r="D71" s="477">
        <v>77100</v>
      </c>
      <c r="E71" s="477">
        <v>79700</v>
      </c>
      <c r="F71" s="477">
        <v>82300</v>
      </c>
      <c r="G71" s="477">
        <v>84900</v>
      </c>
      <c r="H71" s="477">
        <v>87500</v>
      </c>
      <c r="I71" s="477">
        <v>90100</v>
      </c>
      <c r="J71" s="477">
        <v>92700</v>
      </c>
      <c r="K71" s="478">
        <v>95300</v>
      </c>
      <c r="L71" s="478">
        <v>97900</v>
      </c>
      <c r="M71" s="478">
        <v>100500</v>
      </c>
      <c r="N71" s="478">
        <v>103100</v>
      </c>
      <c r="O71" s="478">
        <v>105700</v>
      </c>
      <c r="P71" s="478">
        <v>108300</v>
      </c>
      <c r="Q71" s="484"/>
      <c r="R71" s="506"/>
      <c r="S71" s="481" t="s">
        <v>78</v>
      </c>
      <c r="T71" s="477">
        <v>50000</v>
      </c>
      <c r="U71" s="477">
        <v>51600</v>
      </c>
      <c r="V71" s="477">
        <v>53200</v>
      </c>
      <c r="W71" s="477">
        <v>54800</v>
      </c>
      <c r="X71" s="478">
        <v>56400</v>
      </c>
      <c r="Y71" s="489"/>
      <c r="Z71" s="506"/>
      <c r="AA71" s="481" t="s">
        <v>78</v>
      </c>
      <c r="AB71" s="477">
        <v>57200</v>
      </c>
      <c r="AC71" s="477">
        <v>59000</v>
      </c>
      <c r="AD71" s="477">
        <v>60800</v>
      </c>
      <c r="AE71" s="477">
        <v>62600</v>
      </c>
      <c r="AF71" s="478">
        <v>64400</v>
      </c>
      <c r="AH71" s="476"/>
      <c r="AI71" s="476"/>
      <c r="AJ71" s="476"/>
    </row>
    <row r="72" spans="2:36" x14ac:dyDescent="0.25">
      <c r="B72" s="506"/>
      <c r="C72" s="481" t="s">
        <v>79</v>
      </c>
      <c r="D72" s="477">
        <v>79700</v>
      </c>
      <c r="E72" s="477">
        <v>82300</v>
      </c>
      <c r="F72" s="477">
        <v>84900</v>
      </c>
      <c r="G72" s="477">
        <v>87500</v>
      </c>
      <c r="H72" s="477">
        <v>90100</v>
      </c>
      <c r="I72" s="477">
        <v>92700</v>
      </c>
      <c r="J72" s="477">
        <v>95300</v>
      </c>
      <c r="K72" s="478">
        <v>97900</v>
      </c>
      <c r="L72" s="478">
        <v>100500</v>
      </c>
      <c r="M72" s="478">
        <v>103100</v>
      </c>
      <c r="N72" s="478">
        <v>105700</v>
      </c>
      <c r="O72" s="478">
        <v>108300</v>
      </c>
      <c r="P72" s="478">
        <v>110900</v>
      </c>
      <c r="Q72" s="484"/>
      <c r="R72" s="506"/>
      <c r="S72" s="481" t="s">
        <v>79</v>
      </c>
      <c r="T72" s="477">
        <v>51600</v>
      </c>
      <c r="U72" s="477">
        <v>53200</v>
      </c>
      <c r="V72" s="477">
        <v>54800</v>
      </c>
      <c r="W72" s="477">
        <v>56400</v>
      </c>
      <c r="X72" s="478">
        <v>58000</v>
      </c>
      <c r="Y72" s="489"/>
      <c r="Z72" s="506"/>
      <c r="AA72" s="481" t="s">
        <v>79</v>
      </c>
      <c r="AB72" s="477">
        <v>59000</v>
      </c>
      <c r="AC72" s="477">
        <v>60800</v>
      </c>
      <c r="AD72" s="477">
        <v>62600</v>
      </c>
      <c r="AE72" s="477">
        <v>64400</v>
      </c>
      <c r="AF72" s="478">
        <v>66200</v>
      </c>
      <c r="AH72" s="476"/>
      <c r="AI72" s="476"/>
      <c r="AJ72" s="476"/>
    </row>
    <row r="73" spans="2:36" x14ac:dyDescent="0.25">
      <c r="B73" s="506"/>
      <c r="C73" s="483" t="s">
        <v>378</v>
      </c>
      <c r="D73" s="478">
        <v>82300</v>
      </c>
      <c r="E73" s="478">
        <v>84900</v>
      </c>
      <c r="F73" s="478">
        <v>87500</v>
      </c>
      <c r="G73" s="478">
        <v>90100</v>
      </c>
      <c r="H73" s="478">
        <v>92700</v>
      </c>
      <c r="I73" s="478">
        <v>95300</v>
      </c>
      <c r="J73" s="478">
        <v>97900</v>
      </c>
      <c r="K73" s="478">
        <v>100500</v>
      </c>
      <c r="L73" s="478">
        <v>103100</v>
      </c>
      <c r="M73" s="478">
        <v>105700</v>
      </c>
      <c r="N73" s="478">
        <v>108300</v>
      </c>
      <c r="O73" s="478">
        <v>110900</v>
      </c>
      <c r="P73" s="478">
        <v>113500</v>
      </c>
      <c r="Q73" s="484"/>
      <c r="R73" s="506"/>
      <c r="S73" s="483" t="s">
        <v>378</v>
      </c>
      <c r="T73" s="478">
        <v>53200</v>
      </c>
      <c r="U73" s="478">
        <v>54800</v>
      </c>
      <c r="V73" s="478">
        <v>56400</v>
      </c>
      <c r="W73" s="478">
        <v>58000</v>
      </c>
      <c r="X73" s="478">
        <v>59600</v>
      </c>
      <c r="Y73" s="489"/>
      <c r="Z73" s="506"/>
      <c r="AA73" s="483" t="s">
        <v>378</v>
      </c>
      <c r="AB73" s="478">
        <v>60800</v>
      </c>
      <c r="AC73" s="478">
        <v>62600</v>
      </c>
      <c r="AD73" s="478">
        <v>64400</v>
      </c>
      <c r="AE73" s="478">
        <v>66200</v>
      </c>
      <c r="AF73" s="478">
        <v>68000</v>
      </c>
    </row>
    <row r="74" spans="2:36" x14ac:dyDescent="0.25">
      <c r="B74" s="506"/>
      <c r="C74" s="483" t="s">
        <v>379</v>
      </c>
      <c r="D74" s="478">
        <v>84900</v>
      </c>
      <c r="E74" s="478">
        <v>87500</v>
      </c>
      <c r="F74" s="478">
        <v>90100</v>
      </c>
      <c r="G74" s="478">
        <v>92700</v>
      </c>
      <c r="H74" s="478">
        <v>95300</v>
      </c>
      <c r="I74" s="478">
        <v>97900</v>
      </c>
      <c r="J74" s="478">
        <v>100500</v>
      </c>
      <c r="K74" s="478">
        <v>103100</v>
      </c>
      <c r="L74" s="478">
        <v>105700</v>
      </c>
      <c r="M74" s="478">
        <v>108300</v>
      </c>
      <c r="N74" s="478">
        <v>110900</v>
      </c>
      <c r="O74" s="478">
        <v>113500</v>
      </c>
      <c r="P74" s="478">
        <v>116100</v>
      </c>
      <c r="Q74" s="484"/>
      <c r="R74" s="506"/>
      <c r="S74" s="483" t="s">
        <v>379</v>
      </c>
      <c r="T74" s="478">
        <v>54800</v>
      </c>
      <c r="U74" s="478">
        <v>56400</v>
      </c>
      <c r="V74" s="478">
        <v>58000</v>
      </c>
      <c r="W74" s="478">
        <v>59600</v>
      </c>
      <c r="X74" s="478">
        <v>61200</v>
      </c>
      <c r="Y74" s="489"/>
      <c r="Z74" s="506"/>
      <c r="AA74" s="483" t="s">
        <v>379</v>
      </c>
      <c r="AB74" s="478">
        <v>62600</v>
      </c>
      <c r="AC74" s="478">
        <v>64400</v>
      </c>
      <c r="AD74" s="478">
        <v>66200</v>
      </c>
      <c r="AE74" s="478">
        <v>68000</v>
      </c>
      <c r="AF74" s="478">
        <v>69800</v>
      </c>
    </row>
    <row r="75" spans="2:36" x14ac:dyDescent="0.25">
      <c r="B75" s="506"/>
      <c r="C75" s="483" t="s">
        <v>380</v>
      </c>
      <c r="D75" s="478">
        <v>87500</v>
      </c>
      <c r="E75" s="478">
        <v>90100</v>
      </c>
      <c r="F75" s="478">
        <v>92700</v>
      </c>
      <c r="G75" s="478">
        <v>95300</v>
      </c>
      <c r="H75" s="478">
        <v>97900</v>
      </c>
      <c r="I75" s="478">
        <v>100500</v>
      </c>
      <c r="J75" s="478">
        <v>103100</v>
      </c>
      <c r="K75" s="478">
        <v>105700</v>
      </c>
      <c r="L75" s="478">
        <v>108300</v>
      </c>
      <c r="M75" s="478">
        <v>110900</v>
      </c>
      <c r="N75" s="478">
        <v>113500</v>
      </c>
      <c r="O75" s="478">
        <v>116100</v>
      </c>
      <c r="P75" s="478">
        <v>118700</v>
      </c>
      <c r="Q75" s="484"/>
      <c r="R75" s="506"/>
      <c r="S75" s="483" t="s">
        <v>380</v>
      </c>
      <c r="T75" s="478">
        <v>56400</v>
      </c>
      <c r="U75" s="478">
        <v>58000</v>
      </c>
      <c r="V75" s="478">
        <v>59600</v>
      </c>
      <c r="W75" s="478">
        <v>61200</v>
      </c>
      <c r="X75" s="478">
        <v>62800</v>
      </c>
      <c r="Y75" s="489"/>
      <c r="Z75" s="506"/>
      <c r="AA75" s="483" t="s">
        <v>380</v>
      </c>
      <c r="AB75" s="478">
        <v>64400</v>
      </c>
      <c r="AC75" s="478">
        <v>66200</v>
      </c>
      <c r="AD75" s="478">
        <v>68000</v>
      </c>
      <c r="AE75" s="478">
        <v>69800</v>
      </c>
      <c r="AF75" s="478">
        <v>71600</v>
      </c>
    </row>
    <row r="76" spans="2:36" x14ac:dyDescent="0.25">
      <c r="B76" s="506"/>
      <c r="C76" s="483" t="s">
        <v>381</v>
      </c>
      <c r="D76" s="478">
        <v>90100</v>
      </c>
      <c r="E76" s="478">
        <v>92700</v>
      </c>
      <c r="F76" s="478">
        <v>95300</v>
      </c>
      <c r="G76" s="478">
        <v>97900</v>
      </c>
      <c r="H76" s="478">
        <v>100500</v>
      </c>
      <c r="I76" s="478">
        <v>103100</v>
      </c>
      <c r="J76" s="478">
        <v>105700</v>
      </c>
      <c r="K76" s="478">
        <v>108300</v>
      </c>
      <c r="L76" s="478">
        <v>110900</v>
      </c>
      <c r="M76" s="478">
        <v>113500</v>
      </c>
      <c r="N76" s="478">
        <v>116100</v>
      </c>
      <c r="O76" s="478">
        <v>118700</v>
      </c>
      <c r="P76" s="478">
        <v>121300</v>
      </c>
      <c r="Q76" s="484"/>
      <c r="R76" s="506"/>
      <c r="S76" s="483" t="s">
        <v>381</v>
      </c>
      <c r="T76" s="478">
        <v>58000</v>
      </c>
      <c r="U76" s="478">
        <v>59600</v>
      </c>
      <c r="V76" s="478">
        <v>61200</v>
      </c>
      <c r="W76" s="478">
        <v>62800</v>
      </c>
      <c r="X76" s="478">
        <v>64400</v>
      </c>
      <c r="Y76" s="489"/>
      <c r="Z76" s="506"/>
      <c r="AA76" s="483" t="s">
        <v>381</v>
      </c>
      <c r="AB76" s="478">
        <v>66200</v>
      </c>
      <c r="AC76" s="478">
        <v>68000</v>
      </c>
      <c r="AD76" s="478">
        <v>69800</v>
      </c>
      <c r="AE76" s="478">
        <v>71600</v>
      </c>
      <c r="AF76" s="478">
        <v>73400</v>
      </c>
    </row>
    <row r="77" spans="2:36" x14ac:dyDescent="0.25">
      <c r="B77" s="506"/>
      <c r="C77" s="483" t="s">
        <v>382</v>
      </c>
      <c r="D77" s="478">
        <v>92700</v>
      </c>
      <c r="E77" s="478">
        <v>95300</v>
      </c>
      <c r="F77" s="478">
        <v>97900</v>
      </c>
      <c r="G77" s="478">
        <v>100500</v>
      </c>
      <c r="H77" s="478">
        <v>103100</v>
      </c>
      <c r="I77" s="478">
        <v>105700</v>
      </c>
      <c r="J77" s="478">
        <v>108300</v>
      </c>
      <c r="K77" s="478">
        <v>110900</v>
      </c>
      <c r="L77" s="478">
        <v>113500</v>
      </c>
      <c r="M77" s="478">
        <v>116100</v>
      </c>
      <c r="N77" s="478">
        <v>118700</v>
      </c>
      <c r="O77" s="478">
        <v>121300</v>
      </c>
      <c r="P77" s="478">
        <v>123900</v>
      </c>
      <c r="Q77" s="484"/>
      <c r="R77" s="506"/>
      <c r="S77" s="483" t="s">
        <v>382</v>
      </c>
      <c r="T77" s="478">
        <v>59600</v>
      </c>
      <c r="U77" s="478">
        <v>61200</v>
      </c>
      <c r="V77" s="478">
        <v>62800</v>
      </c>
      <c r="W77" s="478">
        <v>64400</v>
      </c>
      <c r="X77" s="478">
        <v>66000</v>
      </c>
      <c r="Y77" s="489"/>
      <c r="Z77" s="506"/>
      <c r="AA77" s="483" t="s">
        <v>382</v>
      </c>
      <c r="AB77" s="478">
        <v>68000</v>
      </c>
      <c r="AC77" s="478">
        <v>69800</v>
      </c>
      <c r="AD77" s="478">
        <v>71600</v>
      </c>
      <c r="AE77" s="478">
        <v>73400</v>
      </c>
      <c r="AF77" s="478">
        <v>75200</v>
      </c>
    </row>
    <row r="78" spans="2:36" x14ac:dyDescent="0.25">
      <c r="B78" s="506"/>
      <c r="C78" s="483" t="s">
        <v>383</v>
      </c>
      <c r="D78" s="478">
        <v>95300</v>
      </c>
      <c r="E78" s="478">
        <v>97900</v>
      </c>
      <c r="F78" s="478">
        <v>100500</v>
      </c>
      <c r="G78" s="478">
        <v>103100</v>
      </c>
      <c r="H78" s="478">
        <v>105700</v>
      </c>
      <c r="I78" s="478">
        <v>108300</v>
      </c>
      <c r="J78" s="478">
        <v>110900</v>
      </c>
      <c r="K78" s="478">
        <v>113500</v>
      </c>
      <c r="L78" s="478">
        <v>116100</v>
      </c>
      <c r="M78" s="478">
        <v>118700</v>
      </c>
      <c r="N78" s="478">
        <v>121300</v>
      </c>
      <c r="O78" s="478">
        <v>123900</v>
      </c>
      <c r="P78" s="478">
        <v>126500</v>
      </c>
      <c r="Q78" s="484"/>
      <c r="R78" s="506"/>
      <c r="S78" s="483" t="s">
        <v>383</v>
      </c>
      <c r="T78" s="478">
        <v>61200</v>
      </c>
      <c r="U78" s="478">
        <v>62800</v>
      </c>
      <c r="V78" s="478">
        <v>64400</v>
      </c>
      <c r="W78" s="478">
        <v>66000</v>
      </c>
      <c r="X78" s="478">
        <v>67600</v>
      </c>
      <c r="Y78" s="489"/>
      <c r="Z78" s="506"/>
      <c r="AA78" s="483" t="s">
        <v>383</v>
      </c>
      <c r="AB78" s="478">
        <v>69800</v>
      </c>
      <c r="AC78" s="478">
        <v>71600</v>
      </c>
      <c r="AD78" s="478">
        <v>73400</v>
      </c>
      <c r="AE78" s="478">
        <v>75200</v>
      </c>
      <c r="AF78" s="478">
        <v>77000</v>
      </c>
    </row>
    <row r="80" spans="2:36" ht="12.75" customHeight="1" x14ac:dyDescent="0.25"/>
    <row r="81" spans="21:24" ht="12.75" customHeight="1" x14ac:dyDescent="0.25">
      <c r="U81" s="476"/>
      <c r="V81" s="476"/>
      <c r="W81" s="476"/>
      <c r="X81" s="476"/>
    </row>
    <row r="82" spans="21:24" ht="12.75" customHeight="1" x14ac:dyDescent="0.25"/>
    <row r="83" spans="21:24" ht="12.75" customHeight="1" x14ac:dyDescent="0.25"/>
    <row r="84" spans="21:24" ht="12.75" customHeight="1" x14ac:dyDescent="0.25"/>
  </sheetData>
  <sheetProtection algorithmName="SHA-512" hashValue="5IYwaJkVd2DIbA7t56Xf66uZ2UIGjYRtOoMUjHcNcfAhOe+BIwJCEVN4Saco8Qfl5EmRn/ca+NPEIktacYbkXg==" saltValue="Pe+Z551tzFHwIKDkqX4W1Q==" spinCount="100000" sheet="1" objects="1" scenarios="1"/>
  <mergeCells count="25">
    <mergeCell ref="B1:P1"/>
    <mergeCell ref="R1:AF1"/>
    <mergeCell ref="B2:P2"/>
    <mergeCell ref="R2:AF2"/>
    <mergeCell ref="C3:P4"/>
    <mergeCell ref="S3:AF4"/>
    <mergeCell ref="B5:B36"/>
    <mergeCell ref="R5:R36"/>
    <mergeCell ref="B38:N39"/>
    <mergeCell ref="O38:P39"/>
    <mergeCell ref="R38:AF41"/>
    <mergeCell ref="B40:N41"/>
    <mergeCell ref="O40:P41"/>
    <mergeCell ref="B43:P43"/>
    <mergeCell ref="R43:X43"/>
    <mergeCell ref="Z43:AF43"/>
    <mergeCell ref="B44:P44"/>
    <mergeCell ref="R44:X44"/>
    <mergeCell ref="Z44:AF44"/>
    <mergeCell ref="C45:P45"/>
    <mergeCell ref="S45:X45"/>
    <mergeCell ref="AA45:AF45"/>
    <mergeCell ref="B47:B78"/>
    <mergeCell ref="R47:R78"/>
    <mergeCell ref="Z47:Z78"/>
  </mergeCells>
  <pageMargins left="0.7" right="0.7" top="0.75" bottom="0.75" header="0.3" footer="0.3"/>
  <ignoredErrors>
    <ignoredError sqref="O38:P4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EC7FA-5B6F-4867-85F6-FF31A2EC5805}">
  <sheetPr>
    <tabColor theme="7"/>
  </sheetPr>
  <dimension ref="A1:U98"/>
  <sheetViews>
    <sheetView zoomScale="80" zoomScaleNormal="80" zoomScaleSheetLayoutView="81" zoomScalePageLayoutView="82" workbookViewId="0">
      <selection activeCell="E3" sqref="E3"/>
    </sheetView>
  </sheetViews>
  <sheetFormatPr defaultColWidth="8.85546875" defaultRowHeight="15" x14ac:dyDescent="0.25"/>
  <cols>
    <col min="1" max="1" width="2.5703125" style="427" customWidth="1"/>
    <col min="2" max="2" width="21.28515625" style="61" customWidth="1"/>
    <col min="3" max="3" width="26.140625" style="61" customWidth="1"/>
    <col min="4" max="4" width="18.28515625" style="61" customWidth="1"/>
    <col min="5" max="5" width="20.7109375" style="61" customWidth="1"/>
    <col min="6" max="6" width="23" style="61" customWidth="1"/>
    <col min="7" max="7" width="18.28515625" style="61" customWidth="1"/>
    <col min="8" max="8" width="21.5703125" style="61" customWidth="1"/>
    <col min="9" max="9" width="20" style="61" customWidth="1"/>
    <col min="10" max="10" width="18.5703125" style="61" customWidth="1"/>
    <col min="11" max="11" width="19.7109375" style="61" customWidth="1"/>
    <col min="12" max="12" width="17.7109375" style="61" customWidth="1"/>
    <col min="13" max="13" width="17" style="61" customWidth="1"/>
    <col min="14" max="14" width="4.5703125" style="61" customWidth="1"/>
    <col min="15" max="15" width="2.28515625" style="61" customWidth="1"/>
    <col min="16" max="16" width="38" style="61" customWidth="1"/>
    <col min="17" max="17" width="8.28515625" style="61" customWidth="1"/>
    <col min="18" max="18" width="6.140625" style="411" customWidth="1"/>
    <col min="19" max="19" width="12.85546875" style="61" customWidth="1"/>
    <col min="20" max="20" width="14.140625" style="61" customWidth="1"/>
    <col min="21" max="21" width="2" style="61" customWidth="1"/>
    <col min="22" max="38" width="9.140625" style="61" customWidth="1"/>
    <col min="39" max="16384" width="8.85546875" style="61"/>
  </cols>
  <sheetData>
    <row r="1" spans="2:21" ht="23.25" customHeight="1" thickBot="1" x14ac:dyDescent="0.3">
      <c r="B1" s="544" t="s">
        <v>35</v>
      </c>
      <c r="C1" s="545"/>
      <c r="D1" s="545"/>
      <c r="E1" s="545"/>
      <c r="F1" s="545"/>
      <c r="G1" s="546"/>
      <c r="H1" s="547" t="s">
        <v>120</v>
      </c>
      <c r="I1" s="548"/>
      <c r="J1" s="548"/>
      <c r="K1" s="548"/>
      <c r="L1" s="548"/>
      <c r="M1" s="548"/>
      <c r="N1" s="548"/>
      <c r="O1" s="613" t="s">
        <v>122</v>
      </c>
      <c r="P1" s="614"/>
      <c r="Q1" s="614"/>
      <c r="R1" s="614"/>
      <c r="S1" s="614"/>
      <c r="T1" s="614"/>
      <c r="U1" s="615"/>
    </row>
    <row r="2" spans="2:21" ht="16.5" thickBot="1" x14ac:dyDescent="0.3">
      <c r="B2" s="329" t="s">
        <v>310</v>
      </c>
      <c r="C2" s="803" t="s">
        <v>247</v>
      </c>
      <c r="D2" s="317"/>
      <c r="E2" s="317"/>
      <c r="F2" s="317"/>
      <c r="G2" s="318"/>
      <c r="H2" s="319"/>
      <c r="I2" s="320"/>
      <c r="J2" s="320"/>
      <c r="K2" s="320"/>
      <c r="L2" s="320"/>
      <c r="M2" s="320"/>
      <c r="N2" s="320"/>
      <c r="O2" s="199"/>
      <c r="P2" s="265"/>
      <c r="Q2" s="265"/>
      <c r="R2" s="405"/>
      <c r="S2" s="265"/>
      <c r="T2" s="265"/>
      <c r="U2" s="266"/>
    </row>
    <row r="3" spans="2:21" ht="16.5" thickBot="1" x14ac:dyDescent="0.3">
      <c r="B3" s="326" t="s">
        <v>1</v>
      </c>
      <c r="C3" s="327">
        <f>IF((C2="S-Stone"),SUM((C4/1000*C5/1000*15/1000*1850),B51,C51,D51,E51,C30,C31,C32,G71,G72,G73,F27,F28,F29,H51,I51,J51,K51,I63),IF((C2="S-Sense"),((C4/1000*C5/1000*15/1000*1850)+(C4/1000*C5/1000*1/1000*2000*2)+SUM(B51,C51,D51,E51)+C30+C31+C32+G71+G72+G73+SUM(F27,F28,F29,H51,I51,J51,K51,I63)),0))</f>
        <v>0</v>
      </c>
      <c r="D3" s="312" t="s">
        <v>16</v>
      </c>
      <c r="E3" s="317"/>
      <c r="F3" s="322" t="s">
        <v>311</v>
      </c>
      <c r="G3" s="168"/>
      <c r="H3" s="549" t="s">
        <v>38</v>
      </c>
      <c r="I3" s="550"/>
      <c r="J3" s="550"/>
      <c r="K3" s="97"/>
      <c r="L3" s="98"/>
      <c r="M3" s="98"/>
      <c r="N3" s="98"/>
      <c r="O3" s="199"/>
      <c r="P3" s="200"/>
      <c r="Q3" s="202"/>
      <c r="R3" s="445" t="s">
        <v>348</v>
      </c>
      <c r="S3" s="446" t="s">
        <v>125</v>
      </c>
      <c r="T3" s="447" t="s">
        <v>124</v>
      </c>
      <c r="U3" s="267"/>
    </row>
    <row r="4" spans="2:21" ht="14.45" customHeight="1" x14ac:dyDescent="0.2">
      <c r="B4" s="13" t="s">
        <v>6</v>
      </c>
      <c r="C4" s="308">
        <v>0</v>
      </c>
      <c r="D4" s="313" t="s">
        <v>18</v>
      </c>
      <c r="E4" s="317"/>
      <c r="F4" s="323" t="s">
        <v>116</v>
      </c>
      <c r="G4" s="209"/>
      <c r="H4" s="549"/>
      <c r="I4" s="550"/>
      <c r="J4" s="550"/>
      <c r="K4" s="99"/>
      <c r="L4" s="88"/>
      <c r="M4" s="88"/>
      <c r="N4" s="88"/>
      <c r="O4" s="199"/>
      <c r="P4" s="522" t="s">
        <v>355</v>
      </c>
      <c r="Q4" s="523"/>
      <c r="R4" s="434"/>
      <c r="S4" s="108">
        <f>C3</f>
        <v>0</v>
      </c>
      <c r="T4" s="106"/>
      <c r="U4" s="266"/>
    </row>
    <row r="5" spans="2:21" ht="14.45" customHeight="1" thickBot="1" x14ac:dyDescent="0.25">
      <c r="B5" s="309" t="s">
        <v>7</v>
      </c>
      <c r="C5" s="310">
        <v>0</v>
      </c>
      <c r="D5" s="314"/>
      <c r="E5" s="317"/>
      <c r="F5" s="324" t="s">
        <v>117</v>
      </c>
      <c r="G5" s="209"/>
      <c r="H5" s="532" t="s">
        <v>36</v>
      </c>
      <c r="I5" s="551"/>
      <c r="J5" s="533"/>
      <c r="K5" s="99"/>
      <c r="L5" s="88"/>
      <c r="M5" s="88"/>
      <c r="N5" s="88"/>
      <c r="O5" s="199"/>
      <c r="P5" s="524" t="s">
        <v>6</v>
      </c>
      <c r="Q5" s="525"/>
      <c r="R5" s="431"/>
      <c r="S5" s="190">
        <f>C4</f>
        <v>0</v>
      </c>
      <c r="T5" s="191"/>
      <c r="U5" s="266"/>
    </row>
    <row r="6" spans="2:21" ht="15.6" customHeight="1" thickBot="1" x14ac:dyDescent="0.25">
      <c r="B6" s="552" t="s">
        <v>323</v>
      </c>
      <c r="C6" s="553"/>
      <c r="D6" s="311">
        <v>0</v>
      </c>
      <c r="F6" s="325" t="s">
        <v>118</v>
      </c>
      <c r="G6" s="209"/>
      <c r="H6" s="532" t="s">
        <v>166</v>
      </c>
      <c r="I6" s="533"/>
      <c r="J6" s="78">
        <v>0</v>
      </c>
      <c r="K6" s="99"/>
      <c r="L6" s="88"/>
      <c r="M6" s="88"/>
      <c r="N6" s="88"/>
      <c r="O6" s="199"/>
      <c r="P6" s="333" t="s">
        <v>7</v>
      </c>
      <c r="Q6" s="334"/>
      <c r="R6" s="429"/>
      <c r="S6" s="105">
        <f>C5</f>
        <v>0</v>
      </c>
      <c r="T6" s="106"/>
      <c r="U6" s="266"/>
    </row>
    <row r="7" spans="2:21" ht="15" customHeight="1" thickBot="1" x14ac:dyDescent="0.3">
      <c r="B7" s="31" t="s">
        <v>131</v>
      </c>
      <c r="C7" s="529"/>
      <c r="D7" s="529"/>
      <c r="E7" s="530" t="s">
        <v>254</v>
      </c>
      <c r="F7" s="530"/>
      <c r="G7" s="531"/>
      <c r="H7" s="532" t="s">
        <v>167</v>
      </c>
      <c r="I7" s="533"/>
      <c r="J7" s="78">
        <v>0</v>
      </c>
      <c r="K7" s="99"/>
      <c r="L7" s="88"/>
      <c r="M7" s="88"/>
      <c r="N7" s="88"/>
      <c r="O7" s="199"/>
      <c r="P7" s="348" t="s">
        <v>312</v>
      </c>
      <c r="Q7" s="349" t="str">
        <f>C2</f>
        <v>S-Stone</v>
      </c>
      <c r="R7" s="349">
        <f>D5</f>
        <v>0</v>
      </c>
      <c r="S7" s="176"/>
      <c r="T7" s="174">
        <f>D6</f>
        <v>0</v>
      </c>
      <c r="U7" s="266"/>
    </row>
    <row r="8" spans="2:21" ht="17.25" customHeight="1" thickBot="1" x14ac:dyDescent="0.3">
      <c r="B8" s="65"/>
      <c r="C8" s="88"/>
      <c r="D8" s="88"/>
      <c r="E8" s="530"/>
      <c r="F8" s="530"/>
      <c r="G8" s="531"/>
      <c r="H8" s="534" t="s">
        <v>130</v>
      </c>
      <c r="I8" s="535"/>
      <c r="J8" s="535"/>
      <c r="K8" s="99"/>
      <c r="L8" s="88"/>
      <c r="M8" s="88"/>
      <c r="N8" s="88"/>
      <c r="O8" s="199"/>
      <c r="P8" s="346" t="s">
        <v>349</v>
      </c>
      <c r="Q8" s="422" t="str">
        <f>C11</f>
        <v>-</v>
      </c>
      <c r="R8" s="430">
        <f>C15</f>
        <v>0</v>
      </c>
      <c r="S8" s="347" t="str">
        <f>C10</f>
        <v>нет</v>
      </c>
      <c r="T8" s="191">
        <f>D10+D13+D12+D14</f>
        <v>0</v>
      </c>
      <c r="U8" s="266"/>
    </row>
    <row r="9" spans="2:21" ht="17.25" customHeight="1" x14ac:dyDescent="0.25">
      <c r="B9" s="538" t="s">
        <v>322</v>
      </c>
      <c r="C9" s="539"/>
      <c r="D9" s="540"/>
      <c r="E9" s="538" t="s">
        <v>321</v>
      </c>
      <c r="F9" s="539"/>
      <c r="G9" s="540"/>
      <c r="H9" s="536"/>
      <c r="I9" s="537"/>
      <c r="J9" s="537"/>
      <c r="K9" s="99"/>
      <c r="L9" s="88"/>
      <c r="M9" s="88"/>
      <c r="N9" s="88"/>
      <c r="O9" s="199"/>
      <c r="P9" s="206" t="s">
        <v>350</v>
      </c>
      <c r="Q9" s="424" t="str">
        <f>C17</f>
        <v>-</v>
      </c>
      <c r="R9" s="424">
        <f>C21</f>
        <v>0</v>
      </c>
      <c r="S9" s="105" t="str">
        <f>C16</f>
        <v>нет</v>
      </c>
      <c r="T9" s="106">
        <f>D16+D18+D19+D20</f>
        <v>0</v>
      </c>
      <c r="U9" s="266"/>
    </row>
    <row r="10" spans="2:21" ht="14.45" customHeight="1" thickBot="1" x14ac:dyDescent="0.3">
      <c r="B10" s="210" t="s">
        <v>19</v>
      </c>
      <c r="C10" s="66" t="s">
        <v>24</v>
      </c>
      <c r="D10" s="160">
        <f>IF(AND(C10=B30,C11="S-Stone"),VLOOKUP(B30,Списки!B4:C14,2,0),IF(AND(C10=B30,C11="S-Sense"),VLOOKUP(B30,Списки!$N$4:$O$14,2,0),0))</f>
        <v>0</v>
      </c>
      <c r="E10" s="210" t="s">
        <v>19</v>
      </c>
      <c r="F10" s="66" t="s">
        <v>24</v>
      </c>
      <c r="G10" s="341">
        <f>IF(AND(F10=E27,F11="S-Stone"),VLOOKUP(E27,Списки!$B$73:$C$113,2,0),IF(AND(F10=E27,F11="S-Sense"),VLOOKUP(E27,Списки!$B$73:$I$113,8,0),0))</f>
        <v>0</v>
      </c>
      <c r="H10" s="532" t="s">
        <v>37</v>
      </c>
      <c r="I10" s="551"/>
      <c r="J10" s="533"/>
      <c r="K10" s="99"/>
      <c r="L10" s="88"/>
      <c r="M10" s="88"/>
      <c r="N10" s="88"/>
      <c r="O10" s="199"/>
      <c r="P10" s="439" t="s">
        <v>351</v>
      </c>
      <c r="Q10" s="438" t="str">
        <f>C23</f>
        <v>-</v>
      </c>
      <c r="R10" s="438">
        <f>C27</f>
        <v>0</v>
      </c>
      <c r="S10" s="188" t="str">
        <f>C22</f>
        <v>нет</v>
      </c>
      <c r="T10" s="189">
        <f>D22+D24+D25+D26</f>
        <v>0</v>
      </c>
      <c r="U10" s="266"/>
    </row>
    <row r="11" spans="2:21" x14ac:dyDescent="0.25">
      <c r="B11" s="211" t="s">
        <v>246</v>
      </c>
      <c r="C11" s="66" t="s">
        <v>249</v>
      </c>
      <c r="D11" s="192"/>
      <c r="E11" s="211" t="s">
        <v>246</v>
      </c>
      <c r="F11" s="230" t="s">
        <v>249</v>
      </c>
      <c r="G11" s="342"/>
      <c r="H11" s="532" t="s">
        <v>168</v>
      </c>
      <c r="I11" s="533"/>
      <c r="J11" s="78">
        <v>0</v>
      </c>
      <c r="K11" s="99"/>
      <c r="L11" s="88"/>
      <c r="M11" s="88"/>
      <c r="N11" s="88"/>
      <c r="O11" s="199"/>
      <c r="P11" s="205" t="s">
        <v>352</v>
      </c>
      <c r="Q11" s="339" t="str">
        <f>F11</f>
        <v>-</v>
      </c>
      <c r="R11" s="423">
        <f>F14</f>
        <v>0</v>
      </c>
      <c r="S11" s="177" t="str">
        <f>F10</f>
        <v>нет</v>
      </c>
      <c r="T11" s="172">
        <f>SUM(G10,G12,G13)</f>
        <v>0</v>
      </c>
      <c r="U11" s="266"/>
    </row>
    <row r="12" spans="2:21" ht="14.45" customHeight="1" x14ac:dyDescent="0.25">
      <c r="B12" s="211" t="s">
        <v>21</v>
      </c>
      <c r="C12" s="66" t="s">
        <v>18</v>
      </c>
      <c r="D12" s="160">
        <f>IF(AND(C10=B30,C11="S-Stone",C12="RAL, указать:"),VLOOKUP(B30,Списки!$B$4:$J$14,8,0),IF(AND(C10=B30,C11="S-Sense",C12="RAL, указать:"),VLOOKUP(B30,Списки!$N$4:$V$14,8,0),0))</f>
        <v>0</v>
      </c>
      <c r="E12" s="211" t="s">
        <v>21</v>
      </c>
      <c r="F12" s="66" t="s">
        <v>18</v>
      </c>
      <c r="G12" s="341">
        <f>IF(AND(F10=E27,F11="S-Stone",F12="RAL, указать:"),VLOOKUP(E27,Списки!$B$73:$D$113,3,0),IF(AND(F10=E27,F11="S-Sense",F12="RAL, указать:"),VLOOKUP(E27,Списки!$B$73:$J$113,9,0),0))</f>
        <v>0</v>
      </c>
      <c r="H12" s="532" t="s">
        <v>169</v>
      </c>
      <c r="I12" s="533"/>
      <c r="J12" s="78">
        <v>0</v>
      </c>
      <c r="K12" s="99"/>
      <c r="L12" s="88"/>
      <c r="M12" s="88"/>
      <c r="N12" s="88"/>
      <c r="O12" s="199"/>
      <c r="P12" s="206" t="s">
        <v>353</v>
      </c>
      <c r="Q12" s="340" t="str">
        <f>F16</f>
        <v>-</v>
      </c>
      <c r="R12" s="425">
        <f>F19</f>
        <v>0</v>
      </c>
      <c r="S12" s="109" t="str">
        <f>F15</f>
        <v>нет</v>
      </c>
      <c r="T12" s="106">
        <f>SUM(G15,G17,G18)</f>
        <v>0</v>
      </c>
      <c r="U12" s="266"/>
    </row>
    <row r="13" spans="2:21" ht="15.75" thickBot="1" x14ac:dyDescent="0.3">
      <c r="B13" s="211" t="s">
        <v>22</v>
      </c>
      <c r="C13" s="67" t="s">
        <v>111</v>
      </c>
      <c r="D13" s="160">
        <f>VLOOKUP(C13,Списки!B25:C26,2,FALSE)</f>
        <v>0</v>
      </c>
      <c r="E13" s="211" t="s">
        <v>27</v>
      </c>
      <c r="F13" s="66" t="s">
        <v>24</v>
      </c>
      <c r="G13" s="341">
        <f>IF(AND(F10=E27,F11="S-Stone",F13="цветной с лого"),VLOOKUP(E27,Списки!$B$73:$H$113,7,0),IF(AND(F10=E27,F11="S-Stone",F13="белый с лого"),VLOOKUP(E27,Списки!$B$73:$G$113,6,0),IF(AND(F10=E27,F11="S-Sense",F13="цветной с лого"),VLOOKUP(E27,Списки!$B$73:$R$113,13,0),IF(AND(F10=E27,F11="S-Sense",F13="белый с лого"),VLOOKUP(E27,Списки!$B$73:$M$113,12,0),0))))</f>
        <v>0</v>
      </c>
      <c r="H13" s="554" t="s">
        <v>119</v>
      </c>
      <c r="I13" s="555"/>
      <c r="J13" s="555"/>
      <c r="K13" s="99"/>
      <c r="L13" s="88"/>
      <c r="M13" s="88"/>
      <c r="N13" s="88"/>
      <c r="O13" s="199"/>
      <c r="P13" s="439" t="s">
        <v>354</v>
      </c>
      <c r="Q13" s="440" t="str">
        <f>F21</f>
        <v>-</v>
      </c>
      <c r="R13" s="441">
        <f>F24</f>
        <v>0</v>
      </c>
      <c r="S13" s="188" t="str">
        <f>F20</f>
        <v>нет</v>
      </c>
      <c r="T13" s="189">
        <f>SUM(G20,G22,G23)</f>
        <v>0</v>
      </c>
      <c r="U13" s="266"/>
    </row>
    <row r="14" spans="2:21" ht="14.45" customHeight="1" x14ac:dyDescent="0.25">
      <c r="B14" s="211" t="s">
        <v>27</v>
      </c>
      <c r="C14" s="66" t="s">
        <v>24</v>
      </c>
      <c r="D14" s="160">
        <f>VLOOKUP(C14,Списки!B28:C30,2,FALSE)</f>
        <v>0</v>
      </c>
      <c r="E14" s="212" t="s">
        <v>126</v>
      </c>
      <c r="F14" s="68"/>
      <c r="G14" s="343"/>
      <c r="H14" s="556"/>
      <c r="I14" s="557"/>
      <c r="J14" s="557"/>
      <c r="K14" s="99"/>
      <c r="L14" s="88"/>
      <c r="M14" s="88"/>
      <c r="N14" s="88"/>
      <c r="O14" s="199"/>
      <c r="P14" s="583" t="s">
        <v>39</v>
      </c>
      <c r="Q14" s="584"/>
      <c r="R14" s="428"/>
      <c r="S14" s="175"/>
      <c r="T14" s="172">
        <f>B53</f>
        <v>0</v>
      </c>
      <c r="U14" s="266"/>
    </row>
    <row r="15" spans="2:21" ht="14.45" customHeight="1" x14ac:dyDescent="0.25">
      <c r="B15" s="212" t="s">
        <v>126</v>
      </c>
      <c r="C15" s="68"/>
      <c r="D15" s="402"/>
      <c r="E15" s="210" t="s">
        <v>23</v>
      </c>
      <c r="F15" s="66" t="s">
        <v>24</v>
      </c>
      <c r="G15" s="341">
        <f>IF(AND(F15=E28,F16="S-Stone"),VLOOKUP(E28,Списки!$B$73:$C$113,2,0),IF(AND(F15=E28,F16="S-Sense"),VLOOKUP(E28,Списки!$B$73:$I$113,8,0),0))</f>
        <v>0</v>
      </c>
      <c r="H15" s="65"/>
      <c r="I15" s="88"/>
      <c r="J15" s="88"/>
      <c r="K15" s="88"/>
      <c r="L15" s="88"/>
      <c r="M15" s="88"/>
      <c r="N15" s="88"/>
      <c r="O15" s="199"/>
      <c r="P15" s="572" t="s">
        <v>103</v>
      </c>
      <c r="Q15" s="573"/>
      <c r="R15" s="425"/>
      <c r="S15" s="105"/>
      <c r="T15" s="106">
        <f>C53</f>
        <v>0</v>
      </c>
      <c r="U15" s="266"/>
    </row>
    <row r="16" spans="2:21" x14ac:dyDescent="0.25">
      <c r="B16" s="210" t="s">
        <v>23</v>
      </c>
      <c r="C16" s="66" t="s">
        <v>24</v>
      </c>
      <c r="D16" s="160">
        <f>IF(AND(C16=B31,C17="S-Stone"),VLOOKUP(B31,Списки!B4:C14,2,0),IF(AND(C16=B31,C17="S-Sense"),VLOOKUP(B31,Списки!$N$4:$O$14,2,0),0))</f>
        <v>0</v>
      </c>
      <c r="E16" s="211" t="s">
        <v>246</v>
      </c>
      <c r="F16" s="230" t="s">
        <v>249</v>
      </c>
      <c r="G16" s="344"/>
      <c r="H16" s="623" t="s">
        <v>356</v>
      </c>
      <c r="I16" s="624"/>
      <c r="J16" s="624"/>
      <c r="K16" s="624"/>
      <c r="L16" s="88"/>
      <c r="M16" s="88"/>
      <c r="N16" s="88"/>
      <c r="O16" s="199"/>
      <c r="P16" s="572" t="s">
        <v>104</v>
      </c>
      <c r="Q16" s="573"/>
      <c r="R16" s="425"/>
      <c r="S16" s="105"/>
      <c r="T16" s="106">
        <f>D53</f>
        <v>0</v>
      </c>
      <c r="U16" s="266"/>
    </row>
    <row r="17" spans="2:21" ht="15" customHeight="1" thickBot="1" x14ac:dyDescent="0.3">
      <c r="B17" s="211" t="s">
        <v>246</v>
      </c>
      <c r="C17" s="66" t="s">
        <v>249</v>
      </c>
      <c r="D17" s="192"/>
      <c r="E17" s="211" t="s">
        <v>25</v>
      </c>
      <c r="F17" s="66" t="s">
        <v>18</v>
      </c>
      <c r="G17" s="341">
        <f>IF(AND(F15=E28,F16="S-Stone",F17="RAL, указать:"),VLOOKUP(E28,Списки!$B$73:$D$113,3,0),IF(AND(F15=E28,F16="S-Sense",F17="RAL, указать:"),VLOOKUP(E28,Списки!$B$73:$J$113,9,0),0))</f>
        <v>0</v>
      </c>
      <c r="H17" s="623"/>
      <c r="I17" s="624"/>
      <c r="J17" s="624"/>
      <c r="K17" s="624"/>
      <c r="L17" s="88"/>
      <c r="M17" s="88"/>
      <c r="N17" s="88"/>
      <c r="O17" s="199"/>
      <c r="P17" s="587" t="s">
        <v>105</v>
      </c>
      <c r="Q17" s="588"/>
      <c r="R17" s="350"/>
      <c r="S17" s="176"/>
      <c r="T17" s="174">
        <f>E53</f>
        <v>0</v>
      </c>
      <c r="U17" s="266"/>
    </row>
    <row r="18" spans="2:21" ht="14.45" customHeight="1" x14ac:dyDescent="0.25">
      <c r="B18" s="211" t="s">
        <v>25</v>
      </c>
      <c r="C18" s="66" t="s">
        <v>18</v>
      </c>
      <c r="D18" s="160">
        <f>IF(AND(C16=B31,C17="S-Stone",C18="RAL, указать:"),VLOOKUP(B31,Списки!$B$4:$J$14,8,0),IF(AND(C16=B31,C17="S-Sense",C18="RAL, указать:"),VLOOKUP(B31,Списки!$N$4:$V$14,8,0),0))</f>
        <v>0</v>
      </c>
      <c r="E18" s="211" t="s">
        <v>28</v>
      </c>
      <c r="F18" s="66" t="s">
        <v>24</v>
      </c>
      <c r="G18" s="341">
        <f>IF(AND(F15=E28,F16="S-Stone",F18="цветной с лого"),VLOOKUP(E28,Списки!$B$73:$H$113,7,0),IF(AND(F15=E28,F16="S-Stone",F18="белый с лого"),VLOOKUP(E28,Списки!$B$73:$G$113,6,0),IF(AND(F15=E28,F16="S-Sense",F18="цветной с лого"),VLOOKUP(E28,Списки!$B$73:$R$113,13,0),IF(AND(F15=E28,F16="S-Sense",F18="белый с лого"),VLOOKUP(E28,Списки!$B$73:$M$113,12,0),0))))</f>
        <v>0</v>
      </c>
      <c r="H18" s="558" t="s">
        <v>33</v>
      </c>
      <c r="I18" s="559"/>
      <c r="J18" s="560" t="s">
        <v>4</v>
      </c>
      <c r="K18" s="561"/>
      <c r="L18" s="88"/>
      <c r="M18" s="100"/>
      <c r="N18" s="100"/>
      <c r="O18" s="208"/>
      <c r="P18" s="583" t="s">
        <v>324</v>
      </c>
      <c r="Q18" s="584"/>
      <c r="R18" s="433"/>
      <c r="S18" s="175"/>
      <c r="T18" s="172">
        <f>H53</f>
        <v>0</v>
      </c>
      <c r="U18" s="266"/>
    </row>
    <row r="19" spans="2:21" ht="14.45" customHeight="1" x14ac:dyDescent="0.25">
      <c r="B19" s="211" t="s">
        <v>26</v>
      </c>
      <c r="C19" s="67" t="s">
        <v>111</v>
      </c>
      <c r="D19" s="160">
        <f>VLOOKUP(C19,Списки!B25:C26,2,FALSE)</f>
        <v>0</v>
      </c>
      <c r="E19" s="212" t="s">
        <v>128</v>
      </c>
      <c r="F19" s="68"/>
      <c r="G19" s="345"/>
      <c r="H19" s="235"/>
      <c r="I19" s="236"/>
      <c r="J19" s="236"/>
      <c r="K19" s="236"/>
      <c r="L19" s="88"/>
      <c r="M19" s="100"/>
      <c r="N19" s="100"/>
      <c r="O19" s="199"/>
      <c r="P19" s="572" t="s">
        <v>341</v>
      </c>
      <c r="Q19" s="573"/>
      <c r="R19" s="340"/>
      <c r="S19" s="105"/>
      <c r="T19" s="106">
        <f>I53</f>
        <v>0</v>
      </c>
      <c r="U19" s="266"/>
    </row>
    <row r="20" spans="2:21" ht="14.45" customHeight="1" x14ac:dyDescent="0.25">
      <c r="B20" s="211" t="s">
        <v>28</v>
      </c>
      <c r="C20" s="66" t="s">
        <v>24</v>
      </c>
      <c r="D20" s="160">
        <f>VLOOKUP(C20,Списки!B28:C30,2,FALSE)</f>
        <v>0</v>
      </c>
      <c r="E20" s="210" t="s">
        <v>29</v>
      </c>
      <c r="F20" s="66" t="s">
        <v>24</v>
      </c>
      <c r="G20" s="341">
        <f>IF(AND(F20=E29,F21="S-Stone"),VLOOKUP(E29,Списки!$B$73:$C$113,2,0),IF(AND(F20=E29,F21="S-Sense"),VLOOKUP(E29,Списки!$B$73:$I$113,8,0),0))</f>
        <v>0</v>
      </c>
      <c r="H20" s="235"/>
      <c r="I20" s="236"/>
      <c r="J20" s="236"/>
      <c r="K20" s="236"/>
      <c r="L20" s="88"/>
      <c r="M20" s="100"/>
      <c r="N20" s="100"/>
      <c r="O20" s="199"/>
      <c r="P20" s="572" t="s">
        <v>342</v>
      </c>
      <c r="Q20" s="573"/>
      <c r="R20" s="340"/>
      <c r="S20" s="105"/>
      <c r="T20" s="106">
        <f>J53</f>
        <v>0</v>
      </c>
      <c r="U20" s="266"/>
    </row>
    <row r="21" spans="2:21" ht="14.45" customHeight="1" x14ac:dyDescent="0.25">
      <c r="B21" s="212" t="s">
        <v>128</v>
      </c>
      <c r="C21" s="68"/>
      <c r="D21" s="403"/>
      <c r="E21" s="211" t="s">
        <v>246</v>
      </c>
      <c r="F21" s="230" t="s">
        <v>249</v>
      </c>
      <c r="G21" s="342"/>
      <c r="H21" s="564" t="s">
        <v>164</v>
      </c>
      <c r="I21" s="565"/>
      <c r="J21" s="565"/>
      <c r="K21" s="565"/>
      <c r="L21" s="88"/>
      <c r="M21" s="88"/>
      <c r="N21" s="87"/>
      <c r="O21" s="199"/>
      <c r="P21" s="590" t="s">
        <v>343</v>
      </c>
      <c r="Q21" s="591"/>
      <c r="R21" s="434"/>
      <c r="S21" s="105"/>
      <c r="T21" s="106">
        <f>K53</f>
        <v>0</v>
      </c>
      <c r="U21" s="266"/>
    </row>
    <row r="22" spans="2:21" ht="15.75" thickBot="1" x14ac:dyDescent="0.3">
      <c r="B22" s="210" t="s">
        <v>29</v>
      </c>
      <c r="C22" s="66" t="s">
        <v>24</v>
      </c>
      <c r="D22" s="160">
        <f>IF(AND(C22=B32,C23="S-Stone"),VLOOKUP(B32,Списки!B4:C14,2,0),IF(AND(C22=B32,C23="S-Sense"),VLOOKUP(B32,Списки!$N$4:$O$14,2,0),0))</f>
        <v>0</v>
      </c>
      <c r="E22" s="211" t="s">
        <v>30</v>
      </c>
      <c r="F22" s="66" t="s">
        <v>18</v>
      </c>
      <c r="G22" s="341">
        <f>IF(AND(F20=E29,F21="S-Stone",F22="RAL, указать:"),VLOOKUP(E29,Списки!$B$73:$D$113,3,0),IF(AND(F20=E29,F21="S-Sense",F22="RAL, указать:"),VLOOKUP(E29,Списки!$B$73:$J$113,9,0),0))</f>
        <v>0</v>
      </c>
      <c r="H22" s="566"/>
      <c r="I22" s="567"/>
      <c r="J22" s="567"/>
      <c r="K22" s="567"/>
      <c r="L22" s="100"/>
      <c r="N22" s="86"/>
      <c r="O22" s="199"/>
      <c r="P22" s="587" t="s">
        <v>344</v>
      </c>
      <c r="Q22" s="588"/>
      <c r="R22" s="350"/>
      <c r="S22" s="176">
        <f>K58</f>
        <v>0</v>
      </c>
      <c r="T22" s="174">
        <f>H63</f>
        <v>0</v>
      </c>
      <c r="U22" s="266"/>
    </row>
    <row r="23" spans="2:21" ht="14.45" customHeight="1" thickBot="1" x14ac:dyDescent="0.3">
      <c r="B23" s="211" t="s">
        <v>246</v>
      </c>
      <c r="C23" s="66" t="s">
        <v>249</v>
      </c>
      <c r="D23" s="192"/>
      <c r="E23" s="211" t="s">
        <v>32</v>
      </c>
      <c r="F23" s="66" t="s">
        <v>24</v>
      </c>
      <c r="G23" s="341">
        <f>IF(AND(F20=E29,F21="S-Stone",F23="цветной с лого"),VLOOKUP(E29,Списки!$B$73:$H$113,7,0),IF(AND(F20=E29,F21="S-Stone",F23="белый с лого"),VLOOKUP(E29,Списки!$B$73:$G$113,6,0),IF(AND(F20=E29,F21="S-Sense",F23="цветной с лого"),VLOOKUP(E29,Списки!$B$73:$R$113,13,0),IF(AND(F20=E29,F21="S-Sense",F23="белый с лого"),VLOOKUP(E29,Списки!$B$73:$M$113,12,0),0))))</f>
        <v>0</v>
      </c>
      <c r="H23" s="568" t="s">
        <v>143</v>
      </c>
      <c r="I23" s="569"/>
      <c r="J23" s="196" t="s">
        <v>17</v>
      </c>
      <c r="K23" s="196" t="s">
        <v>15</v>
      </c>
      <c r="L23" s="100"/>
      <c r="M23" s="89"/>
      <c r="N23" s="88"/>
      <c r="O23" s="199"/>
      <c r="P23" s="443" t="s">
        <v>123</v>
      </c>
      <c r="Q23" s="442"/>
      <c r="R23" s="444"/>
      <c r="S23" s="277"/>
      <c r="T23" s="278">
        <f>SUM(K24:K29)</f>
        <v>0</v>
      </c>
      <c r="U23" s="266"/>
    </row>
    <row r="24" spans="2:21" ht="14.45" customHeight="1" thickBot="1" x14ac:dyDescent="0.3">
      <c r="B24" s="211" t="s">
        <v>30</v>
      </c>
      <c r="C24" s="66" t="s">
        <v>18</v>
      </c>
      <c r="D24" s="160">
        <f>IF(AND(C22=B32,C23="S-Stone",C24="RAL, указать:"),VLOOKUP(B32,Списки!$B$4:$J$14,8,0),IF(AND(C22=B32,C23="S-Sense",C24="RAL, указать:"),VLOOKUP(B32,Списки!$N$4:$V$14,8,0),0))</f>
        <v>0</v>
      </c>
      <c r="E24" s="212" t="s">
        <v>127</v>
      </c>
      <c r="F24" s="68"/>
      <c r="G24" s="169"/>
      <c r="H24" s="570" t="s">
        <v>144</v>
      </c>
      <c r="I24" s="571"/>
      <c r="J24" s="64">
        <v>0</v>
      </c>
      <c r="K24" s="316">
        <f>J24*3700</f>
        <v>0</v>
      </c>
      <c r="L24" s="100"/>
      <c r="M24" s="89"/>
      <c r="N24" s="262"/>
      <c r="O24" s="199"/>
      <c r="P24" s="335" t="s">
        <v>85</v>
      </c>
      <c r="Q24" s="336"/>
      <c r="R24" s="435"/>
      <c r="S24" s="337" t="str">
        <f>J18</f>
        <v>без отверстия</v>
      </c>
      <c r="T24" s="338"/>
      <c r="U24" s="266"/>
    </row>
    <row r="25" spans="2:21" ht="15" customHeight="1" x14ac:dyDescent="0.25">
      <c r="B25" s="211" t="s">
        <v>31</v>
      </c>
      <c r="C25" s="67" t="s">
        <v>111</v>
      </c>
      <c r="D25" s="160">
        <f>VLOOKUP(C25,Списки!B25:C26,2,FALSE)</f>
        <v>0</v>
      </c>
      <c r="E25" s="516" t="s">
        <v>339</v>
      </c>
      <c r="F25" s="517"/>
      <c r="G25" s="520">
        <f>SUM(G10,G12,G13,G15,G17,G18,G20,G22,G23)+D6</f>
        <v>0</v>
      </c>
      <c r="H25" s="237" t="s">
        <v>145</v>
      </c>
      <c r="I25" s="197"/>
      <c r="J25" s="64">
        <v>0</v>
      </c>
      <c r="K25" s="316">
        <f>J25*5600</f>
        <v>0</v>
      </c>
      <c r="L25" s="86"/>
      <c r="M25" s="149" t="s">
        <v>146</v>
      </c>
      <c r="N25" s="262"/>
      <c r="O25" s="199"/>
      <c r="P25" s="583" t="s">
        <v>178</v>
      </c>
      <c r="Q25" s="584"/>
      <c r="R25" s="428"/>
      <c r="S25" s="180">
        <f>B57</f>
        <v>0</v>
      </c>
      <c r="T25" s="172">
        <f>S25*16800</f>
        <v>0</v>
      </c>
      <c r="U25" s="266"/>
    </row>
    <row r="26" spans="2:21" ht="15.6" customHeight="1" thickBot="1" x14ac:dyDescent="0.3">
      <c r="B26" s="211" t="s">
        <v>32</v>
      </c>
      <c r="C26" s="66" t="s">
        <v>24</v>
      </c>
      <c r="D26" s="160">
        <f>VLOOKUP(C26,Списки!B28:C30,2,FALSE)</f>
        <v>0</v>
      </c>
      <c r="E26" s="518"/>
      <c r="F26" s="519"/>
      <c r="G26" s="521"/>
      <c r="H26" s="237" t="s">
        <v>234</v>
      </c>
      <c r="I26" s="197"/>
      <c r="J26" s="64">
        <v>0</v>
      </c>
      <c r="K26" s="316">
        <f>J26*10100</f>
        <v>0</v>
      </c>
      <c r="L26" s="86"/>
      <c r="M26" s="148"/>
      <c r="N26" s="87"/>
      <c r="O26" s="199"/>
      <c r="P26" s="590" t="s">
        <v>176</v>
      </c>
      <c r="Q26" s="591"/>
      <c r="R26" s="429"/>
      <c r="S26" s="110">
        <f>D57</f>
        <v>0</v>
      </c>
      <c r="T26" s="106">
        <f>S26*16800</f>
        <v>0</v>
      </c>
      <c r="U26" s="266"/>
    </row>
    <row r="27" spans="2:21" ht="14.45" customHeight="1" thickBot="1" x14ac:dyDescent="0.3">
      <c r="B27" s="212" t="s">
        <v>127</v>
      </c>
      <c r="C27" s="68"/>
      <c r="D27" s="404"/>
      <c r="E27" s="451" t="str">
        <f>F10</f>
        <v>нет</v>
      </c>
      <c r="F27" s="452">
        <f>IF(AND(F10=E27,F11="S-Stone"),VLOOKUP(E27,Списки!$B$73:$X$113,18,0),IF(AND(F10=E27,F11="S-Sense"),VLOOKUP(E27,Списки!$B$73:$X$113,23,0),0))</f>
        <v>0</v>
      </c>
      <c r="G27" s="62"/>
      <c r="H27" s="237" t="s">
        <v>236</v>
      </c>
      <c r="I27" s="197"/>
      <c r="J27" s="64">
        <v>0</v>
      </c>
      <c r="K27" s="316">
        <f>J27*12100</f>
        <v>0</v>
      </c>
      <c r="L27" s="89"/>
      <c r="M27" s="87"/>
      <c r="N27" s="87"/>
      <c r="O27" s="199"/>
      <c r="P27" s="592" t="s">
        <v>177</v>
      </c>
      <c r="Q27" s="593"/>
      <c r="R27" s="432"/>
      <c r="S27" s="276">
        <f>E57</f>
        <v>0</v>
      </c>
      <c r="T27" s="189">
        <f>S27*16800</f>
        <v>0</v>
      </c>
      <c r="U27" s="266"/>
    </row>
    <row r="28" spans="2:21" ht="15" customHeight="1" x14ac:dyDescent="0.25">
      <c r="B28" s="516" t="s">
        <v>357</v>
      </c>
      <c r="C28" s="517"/>
      <c r="D28" s="520">
        <f>SUM(D10:D26)+D6</f>
        <v>0</v>
      </c>
      <c r="E28" s="451" t="str">
        <f>F15</f>
        <v>нет</v>
      </c>
      <c r="F28" s="452">
        <f>IF(AND(F15=E28,F16="S-Stone"),VLOOKUP(E28,Списки!$B$73:$X$113,18,0),IF(AND(F15=E28,F16="S-Sense"),VLOOKUP(E28,Списки!$B$73:$X$113,23,0),0))</f>
        <v>0</v>
      </c>
      <c r="G28" s="62"/>
      <c r="H28" s="237" t="s">
        <v>237</v>
      </c>
      <c r="I28" s="197"/>
      <c r="J28" s="64">
        <v>0</v>
      </c>
      <c r="K28" s="316">
        <f t="shared" ref="K28" si="0">J28*10100</f>
        <v>0</v>
      </c>
      <c r="L28" s="88"/>
      <c r="N28" s="87"/>
      <c r="O28" s="199"/>
      <c r="P28" s="583" t="s">
        <v>345</v>
      </c>
      <c r="Q28" s="584"/>
      <c r="R28" s="428"/>
      <c r="S28" s="180"/>
      <c r="T28" s="172">
        <f>M71</f>
        <v>0</v>
      </c>
      <c r="U28" s="266"/>
    </row>
    <row r="29" spans="2:21" ht="16.149999999999999" customHeight="1" thickBot="1" x14ac:dyDescent="0.3">
      <c r="B29" s="518"/>
      <c r="C29" s="519"/>
      <c r="D29" s="521"/>
      <c r="E29" s="451" t="str">
        <f>F20</f>
        <v>нет</v>
      </c>
      <c r="F29" s="452">
        <f>IF(AND(F20=E29,F21="S-Stone"),VLOOKUP(E29,Списки!$B$73:$X$113,18,0),IF(AND(F20=E29,F21="S-Sense"),VLOOKUP(E29,Списки!$B$73:$X$113,23,0),0))</f>
        <v>0</v>
      </c>
      <c r="G29" s="63"/>
      <c r="H29" s="237" t="s">
        <v>238</v>
      </c>
      <c r="I29" s="197"/>
      <c r="J29" s="64">
        <v>0</v>
      </c>
      <c r="K29" s="316">
        <f>J29*12100</f>
        <v>0</v>
      </c>
      <c r="L29" s="144"/>
      <c r="M29" s="144"/>
      <c r="N29" s="144"/>
      <c r="O29" s="199"/>
      <c r="P29" s="590" t="s">
        <v>346</v>
      </c>
      <c r="Q29" s="591"/>
      <c r="R29" s="429"/>
      <c r="S29" s="110"/>
      <c r="T29" s="106">
        <f>M72</f>
        <v>0</v>
      </c>
      <c r="U29" s="266"/>
    </row>
    <row r="30" spans="2:21" ht="15" customHeight="1" thickBot="1" x14ac:dyDescent="0.3">
      <c r="B30" s="448" t="str">
        <f>C10</f>
        <v>нет</v>
      </c>
      <c r="C30" s="449">
        <f>IF(AND(C10=B30,C11="S-Stone"),VLOOKUP(B30,Списки!$B$4:$H$14,7,0),IF(AND(C10=B30,C11="S-Sense"),VLOOKUP(B30,Списки!$B$4:$T$14,19,0),0))</f>
        <v>0</v>
      </c>
      <c r="D30" s="88"/>
      <c r="E30" s="88"/>
      <c r="F30" s="88"/>
      <c r="G30" s="63"/>
      <c r="H30" s="233"/>
      <c r="I30" s="144"/>
      <c r="J30" s="144"/>
      <c r="K30" s="144"/>
      <c r="L30" s="543"/>
      <c r="M30" s="543"/>
      <c r="N30" s="144"/>
      <c r="O30" s="199"/>
      <c r="P30" s="587" t="s">
        <v>347</v>
      </c>
      <c r="Q30" s="588"/>
      <c r="R30" s="426"/>
      <c r="S30" s="181"/>
      <c r="T30" s="174">
        <f>M73</f>
        <v>0</v>
      </c>
      <c r="U30" s="266"/>
    </row>
    <row r="31" spans="2:21" ht="15.75" customHeight="1" thickBot="1" x14ac:dyDescent="0.3">
      <c r="B31" s="448" t="str">
        <f>C16</f>
        <v>нет</v>
      </c>
      <c r="C31" s="449">
        <f>IF(AND(C16=B31,C17="S-Stone"),VLOOKUP(B31,Списки!$B$4:$H$14,7,0),IF(AND(C16=B31,C17="S-Sense"),VLOOKUP(B31,Списки!$B$4:$T$14,19,0),0))</f>
        <v>0</v>
      </c>
      <c r="D31" s="88"/>
      <c r="E31" s="88"/>
      <c r="F31" s="88"/>
      <c r="G31" s="63"/>
      <c r="H31" s="88"/>
      <c r="I31" s="88"/>
      <c r="J31" s="88"/>
      <c r="K31" s="88"/>
      <c r="L31" s="543" t="s">
        <v>235</v>
      </c>
      <c r="M31" s="543"/>
      <c r="N31" s="144"/>
      <c r="O31" s="199"/>
      <c r="P31" s="594" t="s">
        <v>170</v>
      </c>
      <c r="Q31" s="595"/>
      <c r="R31" s="436"/>
      <c r="S31" s="277"/>
      <c r="T31" s="278">
        <f>J32</f>
        <v>0</v>
      </c>
      <c r="U31" s="266"/>
    </row>
    <row r="32" spans="2:21" ht="22.5" customHeight="1" thickBot="1" x14ac:dyDescent="0.3">
      <c r="B32" s="450" t="str">
        <f>C22</f>
        <v>нет</v>
      </c>
      <c r="C32" s="449">
        <f>IF(AND(C22=B32,C23="S-Stone"),VLOOKUP(B32,Списки!$B$4:$H$14,7,0),IF(AND(C22=B32,C23="S-Sense"),VLOOKUP(B32,Списки!$B$4:$T$14,19,0),0))</f>
        <v>0</v>
      </c>
      <c r="D32" s="412"/>
      <c r="E32" s="412"/>
      <c r="F32" s="94"/>
      <c r="G32" s="170"/>
      <c r="H32" s="562" t="s">
        <v>170</v>
      </c>
      <c r="I32" s="563"/>
      <c r="J32" s="90">
        <v>0</v>
      </c>
      <c r="K32" s="453"/>
      <c r="L32" s="144"/>
      <c r="M32" s="144"/>
      <c r="N32" s="144"/>
      <c r="O32" s="199"/>
      <c r="P32" s="144"/>
      <c r="Q32" s="144"/>
      <c r="R32" s="144"/>
      <c r="S32" s="144"/>
      <c r="T32" s="144"/>
      <c r="U32" s="266"/>
    </row>
    <row r="33" spans="2:21" ht="49.5" customHeight="1" thickBot="1" x14ac:dyDescent="0.25">
      <c r="B33" s="390"/>
      <c r="C33" s="412"/>
      <c r="D33" s="412"/>
      <c r="E33" s="412"/>
      <c r="F33" s="413"/>
      <c r="G33" s="391"/>
      <c r="H33" s="616" t="s">
        <v>361</v>
      </c>
      <c r="I33" s="617"/>
      <c r="J33" s="617"/>
      <c r="K33" s="617"/>
      <c r="L33" s="144"/>
      <c r="M33" s="89"/>
      <c r="N33" s="144"/>
      <c r="O33" s="65"/>
      <c r="P33" s="596" t="s">
        <v>183</v>
      </c>
      <c r="Q33" s="597"/>
      <c r="R33" s="597"/>
      <c r="S33" s="598"/>
      <c r="T33" s="184">
        <f>SUM(T7:T31)</f>
        <v>0</v>
      </c>
      <c r="U33" s="63"/>
    </row>
    <row r="34" spans="2:21" ht="39.75" customHeight="1" thickBot="1" x14ac:dyDescent="0.25">
      <c r="B34" s="526" t="s">
        <v>359</v>
      </c>
      <c r="C34" s="527"/>
      <c r="D34" s="528" t="s">
        <v>358</v>
      </c>
      <c r="E34" s="528"/>
      <c r="F34" s="541" t="s">
        <v>360</v>
      </c>
      <c r="G34" s="542"/>
      <c r="H34" s="618"/>
      <c r="I34" s="619"/>
      <c r="J34" s="619"/>
      <c r="K34" s="619"/>
      <c r="L34" s="146"/>
      <c r="M34" s="234"/>
      <c r="N34" s="146"/>
      <c r="O34" s="74"/>
      <c r="P34" s="75"/>
      <c r="Q34" s="75"/>
      <c r="R34" s="437"/>
      <c r="S34" s="75"/>
      <c r="T34" s="75"/>
      <c r="U34" s="76"/>
    </row>
    <row r="35" spans="2:21" ht="22.5" customHeight="1" x14ac:dyDescent="0.25">
      <c r="B35" s="547" t="s">
        <v>278</v>
      </c>
      <c r="C35" s="548"/>
      <c r="D35" s="548"/>
      <c r="E35" s="548"/>
      <c r="F35" s="548"/>
      <c r="G35" s="579"/>
      <c r="H35" s="548" t="s">
        <v>278</v>
      </c>
      <c r="I35" s="548"/>
      <c r="J35" s="548"/>
      <c r="K35" s="548"/>
      <c r="L35" s="548"/>
      <c r="M35" s="548"/>
      <c r="N35" s="579"/>
    </row>
    <row r="36" spans="2:21" ht="16.5" customHeight="1" x14ac:dyDescent="0.25">
      <c r="B36" s="580" t="s">
        <v>102</v>
      </c>
      <c r="C36" s="581" t="s">
        <v>103</v>
      </c>
      <c r="D36" s="581" t="s">
        <v>104</v>
      </c>
      <c r="E36" s="582" t="s">
        <v>105</v>
      </c>
      <c r="F36" s="265"/>
      <c r="G36" s="266"/>
      <c r="H36" s="581" t="s">
        <v>340</v>
      </c>
      <c r="I36" s="581" t="s">
        <v>325</v>
      </c>
      <c r="J36" s="581" t="s">
        <v>326</v>
      </c>
      <c r="K36" s="582" t="s">
        <v>327</v>
      </c>
      <c r="L36" s="249"/>
      <c r="M36" s="249"/>
      <c r="N36" s="63"/>
    </row>
    <row r="37" spans="2:21" ht="16.5" customHeight="1" x14ac:dyDescent="0.25">
      <c r="B37" s="580"/>
      <c r="C37" s="581"/>
      <c r="D37" s="581"/>
      <c r="E37" s="582"/>
      <c r="F37" s="265"/>
      <c r="G37" s="266"/>
      <c r="H37" s="581"/>
      <c r="I37" s="581"/>
      <c r="J37" s="581"/>
      <c r="K37" s="582"/>
      <c r="L37" s="249"/>
      <c r="M37" s="249"/>
      <c r="N37" s="63"/>
    </row>
    <row r="38" spans="2:21" x14ac:dyDescent="0.25">
      <c r="B38" s="576"/>
      <c r="C38" s="577"/>
      <c r="D38" s="577"/>
      <c r="E38" s="577"/>
      <c r="F38" s="265"/>
      <c r="G38" s="266"/>
      <c r="H38" s="577"/>
      <c r="I38" s="577"/>
      <c r="J38" s="577"/>
      <c r="K38" s="577"/>
      <c r="L38" s="249"/>
      <c r="M38" s="249"/>
      <c r="N38" s="63"/>
    </row>
    <row r="39" spans="2:21" x14ac:dyDescent="0.25">
      <c r="B39" s="576"/>
      <c r="C39" s="577"/>
      <c r="D39" s="577"/>
      <c r="E39" s="577"/>
      <c r="F39" s="265"/>
      <c r="G39" s="266"/>
      <c r="H39" s="577"/>
      <c r="I39" s="577"/>
      <c r="J39" s="577"/>
      <c r="K39" s="577"/>
      <c r="L39" s="249"/>
      <c r="M39" s="249"/>
      <c r="N39" s="63"/>
    </row>
    <row r="40" spans="2:21" ht="14.45" customHeight="1" x14ac:dyDescent="0.25">
      <c r="B40" s="576"/>
      <c r="C40" s="577"/>
      <c r="D40" s="577"/>
      <c r="E40" s="577"/>
      <c r="F40" s="265"/>
      <c r="G40" s="266"/>
      <c r="H40" s="577"/>
      <c r="I40" s="577"/>
      <c r="J40" s="577"/>
      <c r="K40" s="577"/>
      <c r="L40" s="249"/>
      <c r="M40" s="249"/>
      <c r="N40" s="63"/>
    </row>
    <row r="41" spans="2:21" ht="14.45" customHeight="1" x14ac:dyDescent="0.25">
      <c r="B41" s="576"/>
      <c r="C41" s="577"/>
      <c r="D41" s="577"/>
      <c r="E41" s="577"/>
      <c r="F41" s="611" t="s">
        <v>283</v>
      </c>
      <c r="G41" s="612"/>
      <c r="H41" s="577"/>
      <c r="I41" s="577"/>
      <c r="J41" s="577"/>
      <c r="K41" s="577"/>
      <c r="L41" s="158"/>
      <c r="M41" s="158"/>
      <c r="N41" s="406"/>
    </row>
    <row r="42" spans="2:21" ht="15" customHeight="1" x14ac:dyDescent="0.25">
      <c r="B42" s="576"/>
      <c r="C42" s="577"/>
      <c r="D42" s="577"/>
      <c r="E42" s="577"/>
      <c r="F42" s="611"/>
      <c r="G42" s="612"/>
      <c r="H42" s="577"/>
      <c r="I42" s="577"/>
      <c r="J42" s="577"/>
      <c r="K42" s="577"/>
      <c r="L42" s="158"/>
      <c r="M42" s="158"/>
      <c r="N42" s="406"/>
    </row>
    <row r="43" spans="2:21" ht="14.45" customHeight="1" x14ac:dyDescent="0.25">
      <c r="B43" s="576"/>
      <c r="C43" s="577"/>
      <c r="D43" s="577"/>
      <c r="E43" s="577"/>
      <c r="F43" s="611"/>
      <c r="G43" s="612"/>
      <c r="H43" s="577"/>
      <c r="I43" s="577"/>
      <c r="J43" s="577"/>
      <c r="K43" s="577"/>
      <c r="L43" s="513"/>
      <c r="M43" s="513"/>
      <c r="N43" s="514"/>
    </row>
    <row r="44" spans="2:21" x14ac:dyDescent="0.25">
      <c r="B44" s="576" t="s">
        <v>107</v>
      </c>
      <c r="C44" s="577"/>
      <c r="D44" s="577"/>
      <c r="E44" s="577"/>
      <c r="F44" s="265"/>
      <c r="G44" s="266"/>
      <c r="H44" s="578" t="s">
        <v>328</v>
      </c>
      <c r="I44" s="577"/>
      <c r="J44" s="577"/>
      <c r="K44" s="577"/>
      <c r="L44" s="513"/>
      <c r="M44" s="513"/>
      <c r="N44" s="514"/>
    </row>
    <row r="45" spans="2:21" ht="15" customHeight="1" x14ac:dyDescent="0.25">
      <c r="B45" s="239">
        <v>0</v>
      </c>
      <c r="C45" s="223">
        <v>0</v>
      </c>
      <c r="D45" s="223">
        <v>0</v>
      </c>
      <c r="E45" s="223">
        <v>0</v>
      </c>
      <c r="F45" s="265"/>
      <c r="G45" s="266"/>
      <c r="H45" s="290">
        <v>0</v>
      </c>
      <c r="I45" s="223">
        <v>0</v>
      </c>
      <c r="J45" s="223">
        <v>0</v>
      </c>
      <c r="K45" s="223">
        <v>0</v>
      </c>
      <c r="L45" s="515"/>
      <c r="M45" s="513"/>
      <c r="N45" s="514"/>
    </row>
    <row r="46" spans="2:21" ht="15" customHeight="1" x14ac:dyDescent="0.25">
      <c r="B46" s="574" t="s">
        <v>106</v>
      </c>
      <c r="C46" s="575"/>
      <c r="D46" s="575"/>
      <c r="E46" s="575"/>
      <c r="F46" s="265"/>
      <c r="G46" s="266"/>
      <c r="H46" s="607" t="s">
        <v>329</v>
      </c>
      <c r="I46" s="575"/>
      <c r="J46" s="575"/>
      <c r="K46" s="575"/>
      <c r="L46" s="262"/>
      <c r="M46" s="262"/>
      <c r="N46" s="71"/>
    </row>
    <row r="47" spans="2:21" x14ac:dyDescent="0.25">
      <c r="B47" s="223">
        <v>0</v>
      </c>
      <c r="C47" s="223">
        <v>0</v>
      </c>
      <c r="D47" s="223">
        <v>0</v>
      </c>
      <c r="E47" s="223">
        <v>0</v>
      </c>
      <c r="F47" s="265"/>
      <c r="G47" s="266"/>
      <c r="H47" s="223">
        <v>0</v>
      </c>
      <c r="I47" s="223">
        <v>0</v>
      </c>
      <c r="J47" s="223">
        <v>0</v>
      </c>
      <c r="K47" s="223">
        <v>0</v>
      </c>
      <c r="L47" s="101"/>
      <c r="M47" s="101"/>
      <c r="N47" s="63"/>
    </row>
    <row r="48" spans="2:21" ht="14.45" customHeight="1" x14ac:dyDescent="0.25">
      <c r="B48" s="574" t="s">
        <v>108</v>
      </c>
      <c r="C48" s="575"/>
      <c r="D48" s="575"/>
      <c r="E48" s="575"/>
      <c r="F48" s="265"/>
      <c r="G48" s="266"/>
      <c r="H48" s="607" t="s">
        <v>330</v>
      </c>
      <c r="I48" s="575"/>
      <c r="J48" s="575"/>
      <c r="K48" s="575"/>
      <c r="L48" s="101"/>
      <c r="M48" s="101"/>
      <c r="N48" s="63"/>
    </row>
    <row r="49" spans="2:14" ht="15" customHeight="1" x14ac:dyDescent="0.25">
      <c r="B49" s="239"/>
      <c r="C49" s="223"/>
      <c r="D49" s="223"/>
      <c r="E49" s="223"/>
      <c r="F49" s="265"/>
      <c r="G49" s="266"/>
      <c r="H49" s="290"/>
      <c r="I49" s="223"/>
      <c r="J49" s="223"/>
      <c r="K49" s="223"/>
      <c r="L49" s="101"/>
      <c r="M49" s="101"/>
      <c r="N49" s="63"/>
    </row>
    <row r="50" spans="2:14" ht="15" customHeight="1" x14ac:dyDescent="0.25">
      <c r="B50" s="574" t="s">
        <v>109</v>
      </c>
      <c r="C50" s="575"/>
      <c r="D50" s="575"/>
      <c r="E50" s="575"/>
      <c r="F50" s="265"/>
      <c r="G50" s="266"/>
      <c r="H50" s="607" t="s">
        <v>331</v>
      </c>
      <c r="I50" s="575"/>
      <c r="J50" s="575"/>
      <c r="K50" s="575"/>
      <c r="L50" s="101"/>
      <c r="M50" s="101"/>
      <c r="N50" s="63"/>
    </row>
    <row r="51" spans="2:14" ht="14.45" customHeight="1" x14ac:dyDescent="0.25">
      <c r="B51" s="332">
        <f>IF(($C$2="S-Stone"),(B45/1000*B47/1000*14/1000*1850),IF(($C$2="S-Sense"),SUM((B45/1000*B47/1000*14/1000*1850),(B45/1000*B47/1000*1/1000*2*2000)),0))</f>
        <v>0</v>
      </c>
      <c r="C51" s="332">
        <f t="shared" ref="C51:E51" si="1">IF(($C$2="S-Stone"),(C45/1000*C47/1000*14/1000*1850),IF(($C$2="S-Sense"),SUM((C45/1000*C47/1000*14/1000*1850),(C45/1000*C47/1000*1/1000*2*2000)),0))</f>
        <v>0</v>
      </c>
      <c r="D51" s="332">
        <f t="shared" si="1"/>
        <v>0</v>
      </c>
      <c r="E51" s="332">
        <f t="shared" si="1"/>
        <v>0</v>
      </c>
      <c r="F51" s="611" t="s">
        <v>282</v>
      </c>
      <c r="G51" s="612"/>
      <c r="H51" s="332">
        <f>IF(($C$2="S-Stone"),(H45/1000*H47/1000*14/1000*1850),IF(($C$2="S-Sense"),SUM((H45/1000*H47/1000*14/1000*1850),(H45/1000*H47/1000*1/1000*2*2000)),0))</f>
        <v>0</v>
      </c>
      <c r="I51" s="332">
        <f t="shared" ref="I51:K51" si="2">IF(($C$2="S-Stone"),(I45/1000*I47/1000*14/1000*1850),IF(($C$2="S-Sense"),SUM((I45/1000*I47/1000*14/1000*1850),(I45/1000*I47/1000*1/1000*2*2000)),0))</f>
        <v>0</v>
      </c>
      <c r="J51" s="332">
        <f t="shared" si="2"/>
        <v>0</v>
      </c>
      <c r="K51" s="332">
        <f t="shared" si="2"/>
        <v>0</v>
      </c>
      <c r="L51" s="409"/>
      <c r="M51" s="409"/>
      <c r="N51" s="410"/>
    </row>
    <row r="52" spans="2:14" ht="15" customHeight="1" x14ac:dyDescent="0.25">
      <c r="B52" s="599" t="s">
        <v>338</v>
      </c>
      <c r="C52" s="600"/>
      <c r="D52" s="600"/>
      <c r="E52" s="600"/>
      <c r="F52" s="611"/>
      <c r="G52" s="612"/>
      <c r="H52" s="600" t="s">
        <v>338</v>
      </c>
      <c r="I52" s="600"/>
      <c r="J52" s="600"/>
      <c r="K52" s="600"/>
      <c r="L52" s="409"/>
      <c r="M52" s="409"/>
      <c r="N52" s="410"/>
    </row>
    <row r="53" spans="2:14" ht="16.149999999999999" customHeight="1" x14ac:dyDescent="0.25">
      <c r="B53" s="241">
        <v>0</v>
      </c>
      <c r="C53" s="183">
        <v>0</v>
      </c>
      <c r="D53" s="183">
        <v>0</v>
      </c>
      <c r="E53" s="183">
        <v>0</v>
      </c>
      <c r="F53" s="611"/>
      <c r="G53" s="612"/>
      <c r="H53" s="394">
        <v>0</v>
      </c>
      <c r="I53" s="183">
        <v>0</v>
      </c>
      <c r="J53" s="183">
        <v>0</v>
      </c>
      <c r="K53" s="183">
        <v>0</v>
      </c>
      <c r="L53" s="409"/>
      <c r="M53" s="409"/>
      <c r="N53" s="410"/>
    </row>
    <row r="54" spans="2:14" ht="15" customHeight="1" x14ac:dyDescent="0.25">
      <c r="B54" s="407"/>
      <c r="C54" s="408"/>
      <c r="D54" s="408"/>
      <c r="E54" s="408"/>
      <c r="F54" s="265"/>
      <c r="G54" s="266"/>
      <c r="H54" s="586" t="s">
        <v>332</v>
      </c>
      <c r="I54" s="586"/>
      <c r="J54" s="586"/>
      <c r="K54" s="586"/>
      <c r="L54" s="88"/>
      <c r="M54" s="88"/>
      <c r="N54" s="63"/>
    </row>
    <row r="55" spans="2:14" ht="15" customHeight="1" x14ac:dyDescent="0.25">
      <c r="B55" s="585" t="s">
        <v>233</v>
      </c>
      <c r="C55" s="586"/>
      <c r="D55" s="586"/>
      <c r="E55" s="586"/>
      <c r="F55" s="265"/>
      <c r="G55" s="266"/>
      <c r="H55" s="625" t="s">
        <v>333</v>
      </c>
      <c r="I55" s="626" t="s">
        <v>334</v>
      </c>
      <c r="J55" s="626" t="s">
        <v>337</v>
      </c>
      <c r="K55" s="626" t="s">
        <v>335</v>
      </c>
      <c r="L55" s="88"/>
      <c r="M55" s="88"/>
      <c r="N55" s="63"/>
    </row>
    <row r="56" spans="2:14" ht="18" customHeight="1" x14ac:dyDescent="0.25">
      <c r="B56" s="102" t="s">
        <v>174</v>
      </c>
      <c r="C56" s="250"/>
      <c r="D56" s="103" t="s">
        <v>174</v>
      </c>
      <c r="E56" s="103" t="s">
        <v>174</v>
      </c>
      <c r="F56" s="265"/>
      <c r="G56" s="266"/>
      <c r="H56" s="625"/>
      <c r="I56" s="626"/>
      <c r="J56" s="626"/>
      <c r="K56" s="626"/>
      <c r="L56" s="88"/>
      <c r="M56" s="88"/>
      <c r="N56" s="63"/>
    </row>
    <row r="57" spans="2:14" ht="16.149999999999999" customHeight="1" x14ac:dyDescent="0.2">
      <c r="B57" s="398">
        <v>0</v>
      </c>
      <c r="C57" s="399"/>
      <c r="D57" s="395">
        <v>0</v>
      </c>
      <c r="E57" s="395">
        <v>0</v>
      </c>
      <c r="F57" s="265"/>
      <c r="G57" s="266"/>
      <c r="H57" s="625"/>
      <c r="I57" s="626"/>
      <c r="J57" s="626"/>
      <c r="K57" s="626"/>
      <c r="L57" s="88"/>
      <c r="M57" s="88"/>
      <c r="N57" s="63"/>
    </row>
    <row r="58" spans="2:14" ht="15" customHeight="1" x14ac:dyDescent="0.2">
      <c r="B58" s="400" t="s">
        <v>172</v>
      </c>
      <c r="C58" s="399"/>
      <c r="D58" s="396" t="s">
        <v>175</v>
      </c>
      <c r="E58" s="396" t="s">
        <v>175</v>
      </c>
      <c r="F58" s="265"/>
      <c r="G58" s="266"/>
      <c r="H58" s="290">
        <v>0</v>
      </c>
      <c r="I58" s="223">
        <v>0</v>
      </c>
      <c r="J58" s="223"/>
      <c r="K58" s="223">
        <v>0</v>
      </c>
      <c r="L58" s="88"/>
      <c r="M58" s="88"/>
      <c r="N58" s="63"/>
    </row>
    <row r="59" spans="2:14" ht="15.6" customHeight="1" x14ac:dyDescent="0.2">
      <c r="B59" s="401" t="s">
        <v>24</v>
      </c>
      <c r="C59" s="399"/>
      <c r="D59" s="397" t="s">
        <v>24</v>
      </c>
      <c r="E59" s="397" t="s">
        <v>24</v>
      </c>
      <c r="F59" s="265"/>
      <c r="G59" s="266"/>
      <c r="H59" s="88"/>
      <c r="I59" s="620" t="s">
        <v>336</v>
      </c>
      <c r="J59" s="88"/>
      <c r="K59" s="88"/>
      <c r="L59" s="88"/>
      <c r="M59" s="88"/>
      <c r="N59" s="63"/>
    </row>
    <row r="60" spans="2:14" ht="15.6" customHeight="1" x14ac:dyDescent="0.2">
      <c r="B60" s="400" t="s">
        <v>173</v>
      </c>
      <c r="C60" s="399"/>
      <c r="D60" s="399"/>
      <c r="E60" s="399"/>
      <c r="F60" s="265"/>
      <c r="G60" s="266"/>
      <c r="H60" s="627" t="s">
        <v>338</v>
      </c>
      <c r="I60" s="621"/>
      <c r="J60" s="88"/>
      <c r="K60" s="88"/>
      <c r="L60" s="88"/>
      <c r="M60" s="88"/>
      <c r="N60" s="63"/>
    </row>
    <row r="61" spans="2:14" ht="15.6" customHeight="1" x14ac:dyDescent="0.2">
      <c r="B61" s="401" t="s">
        <v>24</v>
      </c>
      <c r="C61" s="399"/>
      <c r="D61" s="399"/>
      <c r="E61" s="399"/>
      <c r="F61" s="265"/>
      <c r="G61" s="266"/>
      <c r="H61" s="627"/>
      <c r="I61" s="621"/>
      <c r="J61" s="88"/>
      <c r="K61" s="88"/>
      <c r="L61" s="88"/>
      <c r="M61" s="88"/>
      <c r="N61" s="63"/>
    </row>
    <row r="62" spans="2:14" ht="15.6" customHeight="1" x14ac:dyDescent="0.25">
      <c r="B62" s="392"/>
      <c r="C62" s="393"/>
      <c r="D62" s="393"/>
      <c r="E62" s="393"/>
      <c r="F62" s="265"/>
      <c r="G62" s="266"/>
      <c r="H62" s="628"/>
      <c r="I62" s="622"/>
      <c r="J62" s="88"/>
      <c r="K62" s="88"/>
      <c r="L62" s="88"/>
      <c r="M62" s="88"/>
      <c r="N62" s="63"/>
    </row>
    <row r="63" spans="2:14" ht="15.6" customHeight="1" x14ac:dyDescent="0.25">
      <c r="B63" s="608" t="s">
        <v>258</v>
      </c>
      <c r="C63" s="602"/>
      <c r="D63" s="602"/>
      <c r="E63" s="602"/>
      <c r="F63" s="265"/>
      <c r="G63" s="266"/>
      <c r="H63" s="394">
        <v>0</v>
      </c>
      <c r="I63" s="332">
        <f>IF(($C$2="S-Stone"),(H58/1000*I58/1000*14/1000*1850*K58),IF(($C$2="S-Sense"),SUM((H58/1000*I58/1000*14/1000*1850*K58),(H58/1000*I58/1000*1/1000*2*2000*K58)),0))</f>
        <v>0</v>
      </c>
      <c r="J63" s="88"/>
      <c r="K63" s="88"/>
      <c r="L63" s="88"/>
      <c r="M63" s="88"/>
      <c r="N63" s="63"/>
    </row>
    <row r="64" spans="2:14" ht="15.6" customHeight="1" x14ac:dyDescent="0.25">
      <c r="B64" s="608"/>
      <c r="C64" s="602"/>
      <c r="D64" s="602"/>
      <c r="E64" s="602"/>
      <c r="F64" s="265"/>
      <c r="G64" s="266"/>
      <c r="H64" s="88"/>
      <c r="I64" s="88"/>
      <c r="J64" s="88"/>
      <c r="K64" s="88"/>
      <c r="L64" s="88"/>
      <c r="M64" s="88"/>
      <c r="N64" s="63"/>
    </row>
    <row r="65" spans="2:15" ht="15.6" customHeight="1" x14ac:dyDescent="0.25">
      <c r="B65" s="608"/>
      <c r="C65" s="602"/>
      <c r="D65" s="602"/>
      <c r="E65" s="602"/>
      <c r="F65" s="265"/>
      <c r="G65" s="266"/>
      <c r="H65" s="88"/>
      <c r="I65" s="88"/>
      <c r="J65" s="88"/>
      <c r="K65" s="88"/>
      <c r="L65" s="88"/>
      <c r="M65" s="88"/>
      <c r="N65" s="63"/>
    </row>
    <row r="66" spans="2:15" ht="16.5" customHeight="1" x14ac:dyDescent="0.25">
      <c r="B66" s="608"/>
      <c r="C66" s="602"/>
      <c r="D66" s="602"/>
      <c r="E66" s="602"/>
      <c r="F66" s="88"/>
      <c r="G66" s="63"/>
      <c r="H66" s="88"/>
      <c r="I66" s="88"/>
      <c r="J66" s="88"/>
      <c r="K66" s="88"/>
      <c r="L66" s="88"/>
      <c r="M66" s="88"/>
      <c r="N66" s="63"/>
    </row>
    <row r="67" spans="2:15" ht="15.75" thickBot="1" x14ac:dyDescent="0.3">
      <c r="B67" s="609"/>
      <c r="C67" s="610"/>
      <c r="D67" s="610"/>
      <c r="E67" s="610"/>
      <c r="F67" s="75"/>
      <c r="G67" s="76"/>
      <c r="H67" s="75"/>
      <c r="I67" s="75"/>
      <c r="J67" s="75"/>
      <c r="K67" s="75"/>
      <c r="L67" s="75"/>
      <c r="M67" s="75"/>
      <c r="N67" s="76"/>
    </row>
    <row r="68" spans="2:15" ht="18.75" customHeight="1" x14ac:dyDescent="0.25">
      <c r="B68" s="585" t="s">
        <v>286</v>
      </c>
      <c r="C68" s="586"/>
      <c r="D68" s="586"/>
      <c r="E68" s="586" t="s">
        <v>285</v>
      </c>
      <c r="F68" s="586"/>
      <c r="G68" s="586"/>
      <c r="H68" s="589" t="s">
        <v>290</v>
      </c>
      <c r="I68" s="589"/>
      <c r="J68" s="589"/>
      <c r="K68" s="589"/>
      <c r="L68" s="589"/>
      <c r="M68" s="589"/>
      <c r="N68" s="269"/>
    </row>
    <row r="69" spans="2:15" ht="14.45" customHeight="1" x14ac:dyDescent="0.25">
      <c r="B69" s="65"/>
      <c r="C69" s="88"/>
      <c r="D69" s="88"/>
      <c r="E69" s="88"/>
      <c r="F69" s="88"/>
      <c r="G69" s="88"/>
      <c r="H69" s="274"/>
      <c r="I69" s="274"/>
      <c r="J69" s="601" t="s">
        <v>299</v>
      </c>
      <c r="K69" s="601"/>
      <c r="L69" s="601"/>
      <c r="M69" s="601"/>
      <c r="N69" s="63"/>
      <c r="O69" s="287"/>
    </row>
    <row r="70" spans="2:15" ht="14.45" customHeight="1" x14ac:dyDescent="0.25">
      <c r="B70" s="65"/>
      <c r="C70" s="88"/>
      <c r="D70" s="88"/>
      <c r="E70" s="88"/>
      <c r="F70" s="88"/>
      <c r="G70" s="88"/>
      <c r="H70" s="275" t="s">
        <v>289</v>
      </c>
      <c r="I70" s="291" t="s">
        <v>300</v>
      </c>
      <c r="J70" s="283" t="s">
        <v>293</v>
      </c>
      <c r="K70" s="283" t="s">
        <v>294</v>
      </c>
      <c r="L70" s="283" t="s">
        <v>295</v>
      </c>
      <c r="M70" s="275" t="s">
        <v>296</v>
      </c>
      <c r="N70" s="63"/>
    </row>
    <row r="71" spans="2:15" x14ac:dyDescent="0.25">
      <c r="B71" s="65"/>
      <c r="C71" s="88"/>
      <c r="D71" s="88"/>
      <c r="E71" s="88"/>
      <c r="F71" s="88"/>
      <c r="G71" s="298">
        <f>IF((C2="S-Stone"),(SUM(I71/1000*$C$5/1000*0.014*1850*IF(AND(N71&gt;=200,N71&lt;=1000,OR(J71&gt;=200,K71&gt;=200,L71&gt;=200)),COUNTIFS(J71:L71,"&gt;=200",J71:L71,"&lt;=1000")),N71/1000*$C$5/1000*0.014*1850)),IF((C2="S-Sense"),(SUM(I71/1000*$C$5/1000*0.014*1850*IF(AND(N71&gt;=200,N71&lt;=1000,OR(J71&gt;=200,K71&gt;=200,L71&gt;=200)),COUNTIFS(J71:L71,"&gt;=200",J71:L71,"&lt;=1000")),N71/1000*$C$5/1000*0.014*1850,I71/1000*$C$5/1000*0.001*2000*2*IF(AND(N71&gt;=200,N71&lt;=1000,OR(J71&gt;=200,K71&gt;=200,L71&gt;=200)),COUNTIFS(J71:L71,"&gt;=200",J71:L71,"&lt;=1000")),N71/1000*$C$5/1000*0.001*2000*2)),0))</f>
        <v>0</v>
      </c>
      <c r="H71" s="279" t="s">
        <v>271</v>
      </c>
      <c r="I71" s="280">
        <v>0</v>
      </c>
      <c r="J71" s="282">
        <v>0</v>
      </c>
      <c r="K71" s="282">
        <v>0</v>
      </c>
      <c r="L71" s="282">
        <v>0</v>
      </c>
      <c r="M71" s="279">
        <f>IF(AND(N71&gt;=200,N71&lt;=1000,OR(J71&gt;=200,K71&gt;=200,L71&gt;=200)),IF($D$4="по RAL",IF(AND(N71&gt;=200,N71&lt;=1000,OR(J71&gt;=200,K71&gt;=200,L71&gt;=200)),COUNTIFS(J71:L71,"&gt;=200",J71:L71,"&lt;=1000")*25000*1.5),IF(AND(N71&gt;=200,N71&lt;=1000,OR(J71&gt;=200,K71&gt;=200,L71&gt;=200)),COUNTIFS(J71:L71,"&gt;=200",J71:L71,"&lt;=1000")*25000)),0)</f>
        <v>0</v>
      </c>
      <c r="N71" s="286">
        <f>SUM(J71:L71)</f>
        <v>0</v>
      </c>
    </row>
    <row r="72" spans="2:15" x14ac:dyDescent="0.25">
      <c r="B72" s="65"/>
      <c r="C72" s="88"/>
      <c r="D72" s="88"/>
      <c r="E72" s="88"/>
      <c r="F72" s="88"/>
      <c r="G72" s="298">
        <f>IF((C2="S-Stone"),(SUM(I72/1000*$C$5/1000*0.014*1850*IF(AND(N72&gt;=200,N72&lt;=1000,OR(J72&gt;=200,K72&gt;=200,L72&gt;=200)),COUNTIFS(J72:L72,"&gt;=200",J72:L72,"&lt;=1000")),N72/1000*$C$5/1000*0.014*1850)),IF((C2="S-Sense"),(SUM(I72/1000*$C$5/1000*0.014*1850*IF(AND(N72&gt;=200,N72&lt;=1000,OR(J72&gt;=200,K72&gt;=200,L72&gt;=200)),COUNTIFS(J72:L72,"&gt;=200",J72:L72,"&lt;=1000")),N72/1000*$C$5/1000*0.014*1850,I72/1000*$C$5/1000*0.001*2000*2*IF(AND(N72&gt;=200,N72&lt;=1000,OR(J72&gt;=200,K72&gt;=200,L72&gt;=200)),COUNTIFS(J72:L72,"&gt;=200",J72:L72,"&lt;=1000")),N72/1000*$C$5/1000*0.001*2000*2)),0))</f>
        <v>0</v>
      </c>
      <c r="H72" s="279" t="s">
        <v>272</v>
      </c>
      <c r="I72" s="280">
        <v>0</v>
      </c>
      <c r="J72" s="282">
        <v>0</v>
      </c>
      <c r="K72" s="282">
        <v>0</v>
      </c>
      <c r="L72" s="282">
        <v>0</v>
      </c>
      <c r="M72" s="279">
        <f>IF(AND(N72&gt;=200,N72&lt;=1000,OR(J72&gt;=200,K72&gt;=200,L72&gt;=200)),IF($D$4="по RAL",IF(AND(N72&gt;=200,N72&lt;=1000,OR(J72&gt;=200,K72&gt;=200,L72&gt;=200)),COUNTIFS(J72:L72,"&gt;=200",J72:L72,"&lt;=1000")*25000*1.5),IF(AND(N72&gt;=200,N72&lt;=1000,OR(J72&gt;=200,K72&gt;=200,L72&gt;=200)),COUNTIFS(J72:L72,"&gt;=200",J72:L72,"&lt;=1000")*25000)),0)</f>
        <v>0</v>
      </c>
      <c r="N72" s="286">
        <f t="shared" ref="N72:N73" si="3">SUM(J72:L72)</f>
        <v>0</v>
      </c>
    </row>
    <row r="73" spans="2:15" ht="14.45" customHeight="1" x14ac:dyDescent="0.25">
      <c r="B73" s="65"/>
      <c r="C73" s="88"/>
      <c r="D73" s="88"/>
      <c r="E73" s="88"/>
      <c r="F73" s="88"/>
      <c r="G73" s="298">
        <f>IF((C2="S-Stone"),(SUM(I73/1000*$C$5/1000*0.014*1850*IF(AND(N73&gt;=200,N73&lt;=1000,OR(J73&gt;=200,K73&gt;=200,L73&gt;=200)),COUNTIFS(J73:L73,"&gt;=200",J73:L73,"&lt;=1000")),N73/1000*$C$5/1000*0.014*1850)),IF((C2="S-Sense"),(SUM(I73/1000*$C$5/1000*0.014*1850*IF(AND(N73&gt;=200,N73&lt;=1000,OR(J73&gt;=200,K73&gt;=200,L73&gt;=200)),COUNTIFS(J73:L73,"&gt;=200",J73:L73,"&lt;=1000")),N73/1000*$C$5/1000*0.014*1850,I73/1000*$C$5/1000*0.001*2000*2*IF(AND(N73&gt;=200,N73&lt;=1000,OR(J73&gt;=200,K73&gt;=200,L73&gt;=200)),COUNTIFS(J73:L73,"&gt;=200",J73:L73,"&lt;=1000")),N73/1000*$C$5/1000*0.001*2000*2)),0))</f>
        <v>0</v>
      </c>
      <c r="H73" s="279" t="s">
        <v>291</v>
      </c>
      <c r="I73" s="280">
        <v>0</v>
      </c>
      <c r="J73" s="282">
        <v>0</v>
      </c>
      <c r="K73" s="282">
        <v>0</v>
      </c>
      <c r="L73" s="282">
        <v>0</v>
      </c>
      <c r="M73" s="279">
        <f>IF(AND(N73&gt;=200,N73&lt;=1000,OR(J73&gt;=200,K73&gt;=200,L73&gt;=200)),IF($D$4="по RAL",IF(AND(N73&gt;=200,N73&lt;=1000,OR(J73&gt;=200,K73&gt;=200,L73&gt;=200)),COUNTIFS(J73:L73,"&gt;=200",J73:L73,"&lt;=1000")*25000*1.5),IF(AND(N73&gt;=200,N73&lt;=1000,OR(J73&gt;=200,K73&gt;=200,L73&gt;=200)),COUNTIFS(J73:L73,"&gt;=200",J73:L73,"&lt;=1000")*25000)),0)</f>
        <v>0</v>
      </c>
      <c r="N73" s="286">
        <f t="shared" si="3"/>
        <v>0</v>
      </c>
    </row>
    <row r="74" spans="2:15" ht="12.6" customHeight="1" x14ac:dyDescent="0.25">
      <c r="B74" s="65"/>
      <c r="C74" s="88"/>
      <c r="D74" s="88"/>
      <c r="E74" s="88"/>
      <c r="F74" s="88"/>
      <c r="G74" s="88"/>
      <c r="H74" s="254"/>
      <c r="I74" s="273" t="s">
        <v>288</v>
      </c>
      <c r="J74" s="254"/>
      <c r="K74" s="254"/>
      <c r="L74" s="254"/>
      <c r="M74" s="254"/>
      <c r="N74" s="271"/>
    </row>
    <row r="75" spans="2:15" ht="14.45" customHeight="1" x14ac:dyDescent="0.2">
      <c r="B75" s="65"/>
      <c r="C75" s="88"/>
      <c r="D75" s="88"/>
      <c r="E75" s="88"/>
      <c r="F75" s="88"/>
      <c r="G75" s="88"/>
      <c r="H75" s="284"/>
      <c r="I75" s="284"/>
      <c r="J75" s="284"/>
      <c r="K75" s="254"/>
      <c r="L75" s="602" t="s">
        <v>302</v>
      </c>
      <c r="M75" s="602"/>
      <c r="N75" s="603"/>
    </row>
    <row r="76" spans="2:15" x14ac:dyDescent="0.2">
      <c r="B76" s="65"/>
      <c r="C76" s="88"/>
      <c r="D76" s="88"/>
      <c r="E76" s="88"/>
      <c r="F76" s="88"/>
      <c r="G76" s="88"/>
      <c r="H76" s="284"/>
      <c r="I76" s="284"/>
      <c r="J76" s="284"/>
      <c r="K76" s="254"/>
      <c r="L76" s="602"/>
      <c r="M76" s="602"/>
      <c r="N76" s="603"/>
    </row>
    <row r="77" spans="2:15" x14ac:dyDescent="0.2">
      <c r="B77" s="65"/>
      <c r="C77" s="88"/>
      <c r="D77" s="88"/>
      <c r="E77" s="88"/>
      <c r="F77" s="88"/>
      <c r="G77" s="88"/>
      <c r="H77" s="284"/>
      <c r="I77" s="284"/>
      <c r="J77" s="284"/>
      <c r="K77" s="254"/>
      <c r="L77" s="602"/>
      <c r="M77" s="602"/>
      <c r="N77" s="603"/>
    </row>
    <row r="78" spans="2:15" x14ac:dyDescent="0.2">
      <c r="B78" s="65"/>
      <c r="C78" s="88"/>
      <c r="D78" s="88"/>
      <c r="E78" s="88"/>
      <c r="F78" s="88"/>
      <c r="G78" s="88"/>
      <c r="H78" s="284"/>
      <c r="I78" s="284"/>
      <c r="J78" s="284"/>
      <c r="K78" s="254"/>
      <c r="L78" s="602"/>
      <c r="M78" s="602"/>
      <c r="N78" s="603"/>
    </row>
    <row r="79" spans="2:15" x14ac:dyDescent="0.2">
      <c r="B79" s="65"/>
      <c r="C79" s="88"/>
      <c r="D79" s="88"/>
      <c r="E79" s="88"/>
      <c r="F79" s="88"/>
      <c r="G79" s="88"/>
      <c r="H79" s="284"/>
      <c r="I79" s="284"/>
      <c r="J79" s="284"/>
      <c r="K79" s="254"/>
      <c r="L79" s="602"/>
      <c r="M79" s="602"/>
      <c r="N79" s="603"/>
    </row>
    <row r="80" spans="2:15" x14ac:dyDescent="0.2">
      <c r="B80" s="65"/>
      <c r="C80" s="88"/>
      <c r="D80" s="88"/>
      <c r="E80" s="88"/>
      <c r="F80" s="88"/>
      <c r="G80" s="88"/>
      <c r="H80" s="284"/>
      <c r="I80" s="284"/>
      <c r="J80" s="284"/>
      <c r="K80" s="254"/>
      <c r="L80" s="602"/>
      <c r="M80" s="602"/>
      <c r="N80" s="603"/>
    </row>
    <row r="81" spans="2:15" x14ac:dyDescent="0.2">
      <c r="B81" s="65"/>
      <c r="C81" s="88"/>
      <c r="D81" s="88"/>
      <c r="E81" s="88"/>
      <c r="F81" s="88"/>
      <c r="G81" s="88"/>
      <c r="H81" s="284"/>
      <c r="I81" s="284"/>
      <c r="J81" s="284"/>
      <c r="K81" s="251"/>
      <c r="L81" s="602"/>
      <c r="M81" s="602"/>
      <c r="N81" s="603"/>
    </row>
    <row r="82" spans="2:15" x14ac:dyDescent="0.2">
      <c r="B82" s="65"/>
      <c r="C82" s="88"/>
      <c r="D82" s="88"/>
      <c r="E82" s="88"/>
      <c r="F82" s="88"/>
      <c r="G82" s="88"/>
      <c r="H82" s="284"/>
      <c r="I82" s="284"/>
      <c r="J82" s="284"/>
      <c r="K82" s="251"/>
      <c r="L82" s="602"/>
      <c r="M82" s="602"/>
      <c r="N82" s="603"/>
    </row>
    <row r="83" spans="2:15" x14ac:dyDescent="0.2">
      <c r="B83" s="65"/>
      <c r="C83" s="88"/>
      <c r="D83" s="88"/>
      <c r="E83" s="88"/>
      <c r="F83" s="88"/>
      <c r="G83" s="88"/>
      <c r="H83" s="284"/>
      <c r="I83" s="284"/>
      <c r="J83" s="284"/>
      <c r="K83" s="251"/>
      <c r="L83" s="602"/>
      <c r="M83" s="602"/>
      <c r="N83" s="603"/>
    </row>
    <row r="84" spans="2:15" x14ac:dyDescent="0.25">
      <c r="B84" s="65"/>
      <c r="C84" s="88"/>
      <c r="D84" s="88"/>
      <c r="E84" s="88"/>
      <c r="F84" s="88"/>
      <c r="G84" s="88"/>
      <c r="H84" s="251"/>
      <c r="I84" s="251"/>
      <c r="J84" s="251"/>
      <c r="K84" s="251"/>
      <c r="L84" s="602"/>
      <c r="M84" s="602"/>
      <c r="N84" s="603"/>
      <c r="O84"/>
    </row>
    <row r="85" spans="2:15" x14ac:dyDescent="0.25">
      <c r="B85" s="65"/>
      <c r="C85" s="88"/>
      <c r="D85" s="88"/>
      <c r="E85" s="88"/>
      <c r="F85" s="88"/>
      <c r="G85" s="88"/>
      <c r="H85" s="251"/>
      <c r="I85" s="251"/>
      <c r="J85" s="251"/>
      <c r="K85" s="251"/>
      <c r="L85" s="602"/>
      <c r="M85" s="602"/>
      <c r="N85" s="603"/>
    </row>
    <row r="86" spans="2:15" x14ac:dyDescent="0.25">
      <c r="B86" s="65"/>
      <c r="C86" s="88"/>
      <c r="D86" s="88"/>
      <c r="E86" s="88"/>
      <c r="F86" s="88"/>
      <c r="G86" s="88"/>
      <c r="H86" s="251"/>
      <c r="I86" s="251"/>
      <c r="J86" s="251"/>
      <c r="K86" s="251"/>
      <c r="L86" s="602"/>
      <c r="M86" s="602"/>
      <c r="N86" s="603"/>
    </row>
    <row r="87" spans="2:15" x14ac:dyDescent="0.25">
      <c r="B87" s="65"/>
      <c r="C87" s="88"/>
      <c r="D87" s="88"/>
      <c r="E87" s="88"/>
      <c r="F87" s="88"/>
      <c r="G87" s="88"/>
      <c r="H87" s="251"/>
      <c r="I87" s="251"/>
      <c r="J87" s="251"/>
      <c r="K87" s="251"/>
      <c r="L87" s="602"/>
      <c r="M87" s="602"/>
      <c r="N87" s="603"/>
    </row>
    <row r="88" spans="2:15" x14ac:dyDescent="0.25">
      <c r="B88" s="65"/>
      <c r="C88" s="88"/>
      <c r="D88" s="88"/>
      <c r="E88" s="88"/>
      <c r="F88" s="88"/>
      <c r="G88" s="88"/>
      <c r="H88" s="251"/>
      <c r="I88" s="251"/>
      <c r="J88" s="251"/>
      <c r="K88" s="251"/>
      <c r="L88" s="602"/>
      <c r="M88" s="602"/>
      <c r="N88" s="603"/>
    </row>
    <row r="89" spans="2:15" x14ac:dyDescent="0.25">
      <c r="B89" s="65"/>
      <c r="C89" s="88"/>
      <c r="D89" s="88"/>
      <c r="E89" s="88"/>
      <c r="F89" s="88"/>
      <c r="G89" s="88"/>
      <c r="H89" s="270"/>
      <c r="I89" s="270"/>
      <c r="J89" s="270"/>
      <c r="K89" s="272"/>
      <c r="L89" s="272"/>
      <c r="M89" s="272"/>
      <c r="N89" s="63"/>
    </row>
    <row r="90" spans="2:15" x14ac:dyDescent="0.25">
      <c r="B90" s="65"/>
      <c r="C90" s="88"/>
      <c r="D90" s="88"/>
      <c r="E90" s="88"/>
      <c r="F90" s="88"/>
      <c r="G90" s="88"/>
      <c r="H90" s="251"/>
      <c r="I90" s="251"/>
      <c r="J90" s="251"/>
      <c r="K90" s="251"/>
      <c r="L90" s="251"/>
      <c r="M90" s="88"/>
      <c r="N90" s="63"/>
    </row>
    <row r="91" spans="2:15" ht="14.45" customHeight="1" x14ac:dyDescent="0.25">
      <c r="B91" s="65"/>
      <c r="C91" s="88"/>
      <c r="D91" s="88"/>
      <c r="E91" s="88"/>
      <c r="F91" s="88"/>
      <c r="G91" s="88"/>
      <c r="H91" s="251"/>
      <c r="I91" s="251"/>
      <c r="J91" s="251"/>
      <c r="K91" s="272"/>
      <c r="L91" s="272"/>
      <c r="M91" s="272"/>
      <c r="N91" s="63"/>
    </row>
    <row r="92" spans="2:15" ht="14.45" customHeight="1" x14ac:dyDescent="0.25">
      <c r="B92" s="65"/>
      <c r="C92" s="88"/>
      <c r="D92" s="88"/>
      <c r="E92" s="88"/>
      <c r="F92" s="88"/>
      <c r="G92" s="88"/>
      <c r="H92" s="251"/>
      <c r="I92" s="251"/>
      <c r="J92" s="251"/>
      <c r="K92" s="252"/>
      <c r="L92" s="252"/>
      <c r="M92" s="88"/>
      <c r="N92" s="63"/>
    </row>
    <row r="93" spans="2:15" x14ac:dyDescent="0.25">
      <c r="B93" s="65"/>
      <c r="C93" s="88"/>
      <c r="D93" s="88"/>
      <c r="E93" s="88"/>
      <c r="F93" s="88"/>
      <c r="G93" s="88"/>
      <c r="H93" s="252"/>
      <c r="I93" s="252"/>
      <c r="J93" s="252"/>
      <c r="K93" s="252"/>
      <c r="L93" s="252"/>
      <c r="M93" s="88"/>
      <c r="N93" s="63"/>
    </row>
    <row r="94" spans="2:15" ht="14.45" customHeight="1" x14ac:dyDescent="0.25">
      <c r="B94" s="65"/>
      <c r="C94" s="88"/>
      <c r="D94" s="88"/>
      <c r="E94" s="88"/>
      <c r="F94" s="88"/>
      <c r="G94" s="88"/>
      <c r="H94" s="604"/>
      <c r="I94" s="604"/>
      <c r="J94" s="252"/>
      <c r="K94" s="251"/>
      <c r="L94" s="605" t="s">
        <v>298</v>
      </c>
      <c r="M94" s="605" t="s">
        <v>297</v>
      </c>
      <c r="N94" s="285"/>
    </row>
    <row r="95" spans="2:15" ht="15.75" thickBot="1" x14ac:dyDescent="0.3">
      <c r="B95" s="74"/>
      <c r="C95" s="75"/>
      <c r="D95" s="75"/>
      <c r="E95" s="75"/>
      <c r="F95" s="75"/>
      <c r="G95" s="75"/>
      <c r="H95" s="248"/>
      <c r="I95" s="248"/>
      <c r="J95" s="248"/>
      <c r="K95" s="248"/>
      <c r="L95" s="606"/>
      <c r="M95" s="606"/>
      <c r="N95" s="76"/>
    </row>
    <row r="98" spans="8:8" x14ac:dyDescent="0.25">
      <c r="H98" s="281"/>
    </row>
  </sheetData>
  <sheetProtection algorithmName="SHA-512" hashValue="6xYuRuslU7gHgNUxL2aHh3c04fSNZ52VfkJwo0oJE7Nh7YOl6GbmFC381XP+HoywR4cErGDpNPCLD/7ErMxUDg==" saltValue="cGMFQn8AbN4bH1CGO7/64g==" spinCount="100000" sheet="1" objects="1" scenarios="1"/>
  <mergeCells count="95">
    <mergeCell ref="O1:U1"/>
    <mergeCell ref="P14:Q14"/>
    <mergeCell ref="H33:K34"/>
    <mergeCell ref="I59:I62"/>
    <mergeCell ref="H16:K17"/>
    <mergeCell ref="P19:Q19"/>
    <mergeCell ref="P20:Q20"/>
    <mergeCell ref="P21:Q21"/>
    <mergeCell ref="P22:Q22"/>
    <mergeCell ref="H54:K54"/>
    <mergeCell ref="H55:H57"/>
    <mergeCell ref="I55:I57"/>
    <mergeCell ref="J55:J57"/>
    <mergeCell ref="K55:K57"/>
    <mergeCell ref="H60:H62"/>
    <mergeCell ref="H46:K46"/>
    <mergeCell ref="H48:K48"/>
    <mergeCell ref="H50:K50"/>
    <mergeCell ref="H52:K52"/>
    <mergeCell ref="B63:E67"/>
    <mergeCell ref="B35:G35"/>
    <mergeCell ref="F41:G43"/>
    <mergeCell ref="F51:G53"/>
    <mergeCell ref="B38:E43"/>
    <mergeCell ref="J69:M69"/>
    <mergeCell ref="L75:N88"/>
    <mergeCell ref="H94:I94"/>
    <mergeCell ref="L94:L95"/>
    <mergeCell ref="M94:M95"/>
    <mergeCell ref="P25:Q25"/>
    <mergeCell ref="B55:E55"/>
    <mergeCell ref="P17:Q17"/>
    <mergeCell ref="B68:D68"/>
    <mergeCell ref="E68:G68"/>
    <mergeCell ref="H68:M68"/>
    <mergeCell ref="P26:Q26"/>
    <mergeCell ref="P27:Q27"/>
    <mergeCell ref="P28:Q28"/>
    <mergeCell ref="P29:Q29"/>
    <mergeCell ref="P30:Q30"/>
    <mergeCell ref="P31:Q31"/>
    <mergeCell ref="P33:S33"/>
    <mergeCell ref="P18:Q18"/>
    <mergeCell ref="B52:E52"/>
    <mergeCell ref="B48:E48"/>
    <mergeCell ref="P15:Q15"/>
    <mergeCell ref="P16:Q16"/>
    <mergeCell ref="B50:E50"/>
    <mergeCell ref="B44:E44"/>
    <mergeCell ref="B46:E46"/>
    <mergeCell ref="H38:K43"/>
    <mergeCell ref="H44:K44"/>
    <mergeCell ref="H35:N35"/>
    <mergeCell ref="B36:B37"/>
    <mergeCell ref="C36:C37"/>
    <mergeCell ref="D36:D37"/>
    <mergeCell ref="E36:E37"/>
    <mergeCell ref="H36:H37"/>
    <mergeCell ref="I36:I37"/>
    <mergeCell ref="J36:J37"/>
    <mergeCell ref="K36:K37"/>
    <mergeCell ref="L30:M30"/>
    <mergeCell ref="H32:I32"/>
    <mergeCell ref="H21:K22"/>
    <mergeCell ref="H23:I23"/>
    <mergeCell ref="H24:I24"/>
    <mergeCell ref="G25:G26"/>
    <mergeCell ref="H10:J10"/>
    <mergeCell ref="H11:I11"/>
    <mergeCell ref="H12:I12"/>
    <mergeCell ref="H13:J14"/>
    <mergeCell ref="H18:I18"/>
    <mergeCell ref="J18:K18"/>
    <mergeCell ref="B1:G1"/>
    <mergeCell ref="H1:N1"/>
    <mergeCell ref="H3:J4"/>
    <mergeCell ref="H5:J5"/>
    <mergeCell ref="B6:C6"/>
    <mergeCell ref="H6:I6"/>
    <mergeCell ref="L43:N45"/>
    <mergeCell ref="B28:C29"/>
    <mergeCell ref="D28:D29"/>
    <mergeCell ref="P4:Q4"/>
    <mergeCell ref="P5:Q5"/>
    <mergeCell ref="B34:C34"/>
    <mergeCell ref="D34:E34"/>
    <mergeCell ref="C7:D7"/>
    <mergeCell ref="E7:G8"/>
    <mergeCell ref="H7:I7"/>
    <mergeCell ref="H8:J9"/>
    <mergeCell ref="B9:D9"/>
    <mergeCell ref="E9:G9"/>
    <mergeCell ref="F34:G34"/>
    <mergeCell ref="L31:M31"/>
    <mergeCell ref="E25:F26"/>
  </mergeCells>
  <dataValidations count="4">
    <dataValidation type="whole" errorStyle="information" allowBlank="1" showInputMessage="1" showErrorMessage="1" errorTitle="Недопустимое значение" error="Ширина открытой полки может быть от 200 до 1000 мм" sqref="J71:L73" xr:uid="{40608758-6D1D-49C9-A444-0472249F5A87}">
      <formula1>200</formula1>
      <formula2>1000</formula2>
    </dataValidation>
    <dataValidation type="decimal" allowBlank="1" showInputMessage="1" showErrorMessage="1" sqref="B49:D49 H49:J49 J58:K58" xr:uid="{934FB345-9378-464D-909F-CD507B43C0F6}">
      <formula1>0</formula1>
      <formula2>400</formula2>
    </dataValidation>
    <dataValidation type="whole" errorStyle="information" allowBlank="1" showInputMessage="1" showErrorMessage="1" errorTitle="Недопустимое значение" error="Открытая полка может быть высотой от 200 до 400 мм и равна высоте фронтального фартука" sqref="I71:I73" xr:uid="{44A76DAE-BBDF-4150-9642-412BD9170B10}">
      <formula1>200</formula1>
      <formula2>400</formula2>
    </dataValidation>
    <dataValidation type="decimal" allowBlank="1" showInputMessage="1" showErrorMessage="1" errorTitle="Недопустимое значение" error="Превышена максимальная высота 500 мм" sqref="B47:E47 H47:K47 I58" xr:uid="{3A031CB2-4ACE-4573-837B-A99670E2A28A}">
      <formula1>0</formula1>
      <formula2>500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firstPageNumber="2147483648" fitToHeight="0" orientation="landscape" r:id="rId1"/>
  <rowBreaks count="1" manualBreakCount="1">
    <brk id="34" max="16383" man="1"/>
  </rowBreaks>
  <ignoredErrors>
    <ignoredError sqref="K27:K28" formula="1"/>
    <ignoredError sqref="B30:B31 F27:F29" unlockedFormula="1"/>
    <ignoredError sqref="M71:N73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83694D86-2DFA-46E8-AF95-543048E73F40}">
          <x14:formula1>
            <xm:f>Списки!$A$72:$A$73</xm:f>
          </x14:formula1>
          <xm:sqref>C2</xm:sqref>
        </x14:dataValidation>
        <x14:dataValidation type="list" allowBlank="1" showInputMessage="1" showErrorMessage="1" xr:uid="{AB5A0406-00AA-4827-9903-7951AE7B5485}">
          <x14:formula1>
            <xm:f>Списки!$E$20:$E$22</xm:f>
          </x14:formula1>
          <xm:sqref>J18:K18</xm:sqref>
        </x14:dataValidation>
        <x14:dataValidation type="list" allowBlank="1" showInputMessage="1" showErrorMessage="1" xr:uid="{7A7791FB-DF94-4E0C-A918-04EBB3CE64D6}">
          <x14:formula1>
            <xm:f>Списки!$A$72:$A$74</xm:f>
          </x14:formula1>
          <xm:sqref>F11 C23 C17 C11 F21 F16</xm:sqref>
        </x14:dataValidation>
        <x14:dataValidation type="list" allowBlank="1" showInputMessage="1" showErrorMessage="1" xr:uid="{A0C68D04-106A-46A9-AFCE-BC457CB695F6}">
          <x14:formula1>
            <xm:f>Списки!$B$68:$B$69</xm:f>
          </x14:formula1>
          <xm:sqref>J32</xm:sqref>
        </x14:dataValidation>
        <x14:dataValidation type="list" allowBlank="1" showInputMessage="1" showErrorMessage="1" xr:uid="{9F4A60E5-6A71-43EC-87B8-BE02319974F4}">
          <x14:formula1>
            <xm:f>Списки!$B$32:$B$33</xm:f>
          </x14:formula1>
          <xm:sqref>C12 D4 F17 F22 F12 C18 C24</xm:sqref>
        </x14:dataValidation>
        <x14:dataValidation type="list" allowBlank="1" showInputMessage="1" showErrorMessage="1" xr:uid="{9EE20937-A5F5-4B1C-90D8-56CE2437E624}">
          <x14:formula1>
            <xm:f>Списки!$B$28:$B$30</xm:f>
          </x14:formula1>
          <xm:sqref>C14 F13 F23 F18 C20 C26</xm:sqref>
        </x14:dataValidation>
        <x14:dataValidation type="list" allowBlank="1" showInputMessage="1" showErrorMessage="1" xr:uid="{C543B74C-76C9-47C3-AFFF-DA265ADC942E}">
          <x14:formula1>
            <xm:f>Списки!$B$25:$B$26</xm:f>
          </x14:formula1>
          <xm:sqref>C13 C19 C25</xm:sqref>
        </x14:dataValidation>
        <x14:dataValidation type="list" allowBlank="1" showInputMessage="1" showErrorMessage="1" xr:uid="{D58449CD-D191-4A48-B169-13D9D4E2CFF4}">
          <x14:formula1>
            <xm:f>Списки!$B$73:$B$113</xm:f>
          </x14:formula1>
          <xm:sqref>F10 F20 F15</xm:sqref>
        </x14:dataValidation>
        <x14:dataValidation type="list" allowBlank="1" showInputMessage="1" showErrorMessage="1" xr:uid="{65BFA9AA-AE31-4EC8-AAF0-4D6648A10FD7}">
          <x14:formula1>
            <xm:f>Списки!$B$4:$B$14</xm:f>
          </x14:formula1>
          <xm:sqref>C10 C22 C16</xm:sqref>
        </x14:dataValidation>
        <x14:dataValidation type="list" allowBlank="1" showInputMessage="1" showErrorMessage="1" xr:uid="{3BA61944-A6A7-4F97-9703-7C0D66883F36}">
          <x14:formula1>
            <xm:f>Списки!$B$64:$B$66</xm:f>
          </x14:formula1>
          <xm:sqref>B57</xm:sqref>
        </x14:dataValidation>
        <x14:dataValidation type="list" allowBlank="1" showInputMessage="1" showErrorMessage="1" xr:uid="{D420D531-15AC-4DD2-B8FD-B1FC81DFAE07}">
          <x14:formula1>
            <xm:f>Списки!$B$59:$B$62</xm:f>
          </x14:formula1>
          <xm:sqref>B59 B61</xm:sqref>
        </x14:dataValidation>
        <x14:dataValidation type="list" allowBlank="1" showInputMessage="1" showErrorMessage="1" xr:uid="{5F682546-D4AF-4711-BFC4-3F2F150339C3}">
          <x14:formula1>
            <xm:f>Списки!$C$64:$C$65</xm:f>
          </x14:formula1>
          <xm:sqref>D57:E57</xm:sqref>
        </x14:dataValidation>
        <x14:dataValidation type="list" allowBlank="1" showInputMessage="1" showErrorMessage="1" xr:uid="{89233DF4-48C2-4A2F-B854-7F3AB5124E52}">
          <x14:formula1>
            <xm:f>Списки!$D$59:$D$61</xm:f>
          </x14:formula1>
          <xm:sqref>D59:E59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5756E-751D-47F7-9063-E1982D813EDB}">
  <sheetPr>
    <tabColor theme="7"/>
  </sheetPr>
  <dimension ref="A1:AL110"/>
  <sheetViews>
    <sheetView zoomScale="62" zoomScaleNormal="62" zoomScaleSheetLayoutView="81" zoomScalePageLayoutView="82" workbookViewId="0">
      <selection activeCell="F28" sqref="F28:F29"/>
    </sheetView>
  </sheetViews>
  <sheetFormatPr defaultColWidth="8.85546875" defaultRowHeight="15" x14ac:dyDescent="0.25"/>
  <cols>
    <col min="1" max="1" width="40.5703125" style="1" customWidth="1"/>
    <col min="2" max="2" width="18.7109375" style="1" customWidth="1"/>
    <col min="3" max="3" width="18.42578125" style="1" customWidth="1"/>
    <col min="4" max="4" width="18.5703125" style="1" customWidth="1"/>
    <col min="5" max="5" width="21.7109375" style="1" customWidth="1"/>
    <col min="6" max="6" width="25.28515625" style="1" customWidth="1"/>
    <col min="7" max="8" width="3.28515625" style="1" customWidth="1"/>
    <col min="9" max="12" width="21.28515625" style="1" customWidth="1"/>
    <col min="13" max="13" width="19.7109375" style="1" customWidth="1"/>
    <col min="14" max="14" width="14.7109375" style="1" customWidth="1"/>
    <col min="15" max="15" width="11.140625" style="1" customWidth="1"/>
    <col min="16" max="16" width="2" style="1" customWidth="1"/>
    <col min="17" max="24" width="20.42578125" style="1" customWidth="1"/>
    <col min="25" max="16384" width="8.85546875" style="1"/>
  </cols>
  <sheetData>
    <row r="1" spans="1:38" s="5" customFormat="1" ht="28.9" customHeight="1" thickBot="1" x14ac:dyDescent="0.3">
      <c r="A1" s="544" t="s">
        <v>34</v>
      </c>
      <c r="B1" s="545"/>
      <c r="C1" s="545"/>
      <c r="D1" s="545"/>
      <c r="E1" s="545"/>
      <c r="F1" s="545"/>
      <c r="G1" s="545"/>
      <c r="H1" s="19"/>
      <c r="I1" s="545" t="s">
        <v>121</v>
      </c>
      <c r="J1" s="545"/>
      <c r="K1" s="545"/>
      <c r="L1" s="545"/>
      <c r="M1" s="545"/>
      <c r="N1" s="545"/>
      <c r="O1" s="545"/>
      <c r="P1" s="19"/>
      <c r="Q1" s="548" t="s">
        <v>369</v>
      </c>
      <c r="R1" s="548"/>
      <c r="S1" s="548"/>
      <c r="T1" s="548"/>
      <c r="U1" s="548"/>
      <c r="V1" s="548"/>
      <c r="W1" s="579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5" customFormat="1" ht="18.75" customHeight="1" thickBot="1" x14ac:dyDescent="0.3">
      <c r="A2" s="329" t="s">
        <v>310</v>
      </c>
      <c r="B2" s="803" t="s">
        <v>247</v>
      </c>
      <c r="C2" s="457"/>
      <c r="D2" s="456"/>
      <c r="E2" s="317"/>
      <c r="F2" s="317"/>
      <c r="G2" s="317"/>
      <c r="H2" s="455"/>
      <c r="I2" s="581" t="s">
        <v>102</v>
      </c>
      <c r="J2" s="581" t="s">
        <v>103</v>
      </c>
      <c r="K2" s="581" t="s">
        <v>104</v>
      </c>
      <c r="L2" s="582" t="s">
        <v>105</v>
      </c>
      <c r="M2" s="317"/>
      <c r="N2" s="317"/>
      <c r="O2" s="317"/>
      <c r="P2" s="455"/>
      <c r="Q2" s="581" t="s">
        <v>340</v>
      </c>
      <c r="R2" s="581" t="s">
        <v>325</v>
      </c>
      <c r="S2" s="581" t="s">
        <v>326</v>
      </c>
      <c r="T2" s="582" t="s">
        <v>327</v>
      </c>
      <c r="U2" s="640"/>
      <c r="V2" s="640"/>
      <c r="W2" s="64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s="5" customFormat="1" x14ac:dyDescent="0.25">
      <c r="A3" s="13" t="s">
        <v>1</v>
      </c>
      <c r="B3" s="56">
        <f>IF(AND(B2="S-Sense",A9="ONDA PLUS"),K107,IF(AND(B2="S-Stone",A9&lt;&gt;"ONDA PLUS"),K109,IF(AND(B2="S-Sense",A9&lt;&gt;"ONDA PLUS"),K110,K106)))</f>
        <v>7.1746700000000017</v>
      </c>
      <c r="C3" s="51" t="s">
        <v>133</v>
      </c>
      <c r="D3" s="52">
        <f>VLOOKUP(A9,Списки!$B$41:$D$50,2,0)</f>
        <v>500</v>
      </c>
      <c r="F3" s="32" t="s">
        <v>116</v>
      </c>
      <c r="G3" s="458"/>
      <c r="H3" s="29"/>
      <c r="I3" s="581"/>
      <c r="J3" s="581"/>
      <c r="K3" s="581"/>
      <c r="L3" s="582"/>
      <c r="M3" s="117"/>
      <c r="N3" s="118"/>
      <c r="P3" s="9"/>
      <c r="Q3" s="581"/>
      <c r="R3" s="581"/>
      <c r="S3" s="581"/>
      <c r="T3" s="582"/>
      <c r="U3" s="640"/>
      <c r="V3" s="640"/>
      <c r="W3" s="64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s="5" customFormat="1" x14ac:dyDescent="0.25">
      <c r="A4" s="13" t="s">
        <v>6</v>
      </c>
      <c r="B4" s="55">
        <f>B9+D3+D9</f>
        <v>540</v>
      </c>
      <c r="C4" s="51" t="s">
        <v>134</v>
      </c>
      <c r="D4" s="52">
        <f>VLOOKUP(A9,Списки!$B$41:$D$50,3,0)</f>
        <v>340</v>
      </c>
      <c r="F4" s="33" t="s">
        <v>117</v>
      </c>
      <c r="G4" s="458"/>
      <c r="H4" s="29"/>
      <c r="I4" s="581"/>
      <c r="J4" s="581"/>
      <c r="K4" s="581"/>
      <c r="L4" s="582"/>
      <c r="M4" s="117"/>
      <c r="N4" s="118"/>
      <c r="P4" s="9"/>
      <c r="Q4" s="91"/>
      <c r="R4" s="91"/>
      <c r="S4" s="91"/>
      <c r="T4" s="91"/>
      <c r="U4" s="640"/>
      <c r="V4" s="640"/>
      <c r="W4" s="64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s="5" customFormat="1" x14ac:dyDescent="0.25">
      <c r="A5" s="13" t="s">
        <v>7</v>
      </c>
      <c r="B5" s="55">
        <f>D4+C9+E9</f>
        <v>380</v>
      </c>
      <c r="C5" s="27" t="s">
        <v>136</v>
      </c>
      <c r="D5" s="503">
        <f>C12+F23+I18+J18+K18+L18+SUM(C16,C17,C18,C19,C20,C21)+C23+I21*16800+K21*16800+L21*16800+V35+V36+V37+Q18+R18+S18+T18+Q26</f>
        <v>0</v>
      </c>
      <c r="F5" s="34" t="s">
        <v>118</v>
      </c>
      <c r="G5" s="458"/>
      <c r="H5" s="29"/>
      <c r="I5" s="119"/>
      <c r="J5" s="119"/>
      <c r="K5" s="119"/>
      <c r="L5" s="119"/>
      <c r="M5" s="119"/>
      <c r="N5" s="118"/>
      <c r="P5" s="9"/>
      <c r="Q5" s="91"/>
      <c r="R5" s="91"/>
      <c r="S5" s="91"/>
      <c r="T5" s="91"/>
      <c r="U5" s="640"/>
      <c r="V5" s="640"/>
      <c r="W5" s="64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s="5" customFormat="1" x14ac:dyDescent="0.25">
      <c r="A6" s="31" t="s">
        <v>131</v>
      </c>
      <c r="B6" s="681"/>
      <c r="C6" s="681"/>
      <c r="D6" s="681"/>
      <c r="H6" s="9"/>
      <c r="I6" s="119"/>
      <c r="J6" s="119"/>
      <c r="K6" s="119"/>
      <c r="L6" s="119"/>
      <c r="M6" s="119"/>
      <c r="N6" s="118"/>
      <c r="P6" s="9"/>
      <c r="Q6" s="91"/>
      <c r="R6" s="91"/>
      <c r="S6" s="91"/>
      <c r="T6" s="91"/>
      <c r="U6" s="640"/>
      <c r="V6" s="640"/>
      <c r="W6" s="6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s="5" customFormat="1" x14ac:dyDescent="0.25">
      <c r="A7" s="9"/>
      <c r="H7" s="9"/>
      <c r="I7" s="119"/>
      <c r="J7" s="119"/>
      <c r="K7" s="119"/>
      <c r="L7" s="119"/>
      <c r="M7" s="119"/>
      <c r="N7" s="118"/>
      <c r="P7" s="9"/>
      <c r="Q7" s="91"/>
      <c r="R7" s="91"/>
      <c r="S7" s="91"/>
      <c r="T7" s="91"/>
      <c r="U7" s="640"/>
      <c r="V7" s="640"/>
      <c r="W7" s="6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s="5" customFormat="1" ht="41.45" customHeight="1" x14ac:dyDescent="0.25">
      <c r="A8" s="14" t="s">
        <v>14</v>
      </c>
      <c r="B8" s="16" t="s">
        <v>81</v>
      </c>
      <c r="C8" s="16" t="s">
        <v>82</v>
      </c>
      <c r="D8" s="16" t="s">
        <v>83</v>
      </c>
      <c r="E8" s="16" t="s">
        <v>84</v>
      </c>
      <c r="F8" s="3" t="s">
        <v>16</v>
      </c>
      <c r="G8" s="459"/>
      <c r="H8" s="44"/>
      <c r="I8" s="119"/>
      <c r="J8" s="119"/>
      <c r="K8" s="119"/>
      <c r="L8" s="119"/>
      <c r="N8" s="262"/>
      <c r="O8" s="262"/>
      <c r="P8" s="494"/>
      <c r="Q8" s="91"/>
      <c r="R8" s="91"/>
      <c r="S8" s="91"/>
      <c r="T8" s="91"/>
      <c r="U8" s="640"/>
      <c r="V8" s="640"/>
      <c r="W8" s="6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s="5" customFormat="1" ht="16.899999999999999" customHeight="1" x14ac:dyDescent="0.25">
      <c r="A9" s="15" t="s">
        <v>132</v>
      </c>
      <c r="B9" s="21">
        <v>20</v>
      </c>
      <c r="C9" s="21">
        <v>20</v>
      </c>
      <c r="D9" s="21">
        <v>20</v>
      </c>
      <c r="E9" s="21">
        <v>20</v>
      </c>
      <c r="F9" s="6" t="s">
        <v>18</v>
      </c>
      <c r="G9" s="460"/>
      <c r="H9" s="24"/>
      <c r="I9" s="680" t="s">
        <v>107</v>
      </c>
      <c r="J9" s="680"/>
      <c r="K9" s="680"/>
      <c r="L9" s="680"/>
      <c r="M9" s="262"/>
      <c r="N9" s="262"/>
      <c r="O9" s="262"/>
      <c r="P9" s="495"/>
      <c r="Q9" s="649" t="s">
        <v>328</v>
      </c>
      <c r="R9" s="649"/>
      <c r="S9" s="649"/>
      <c r="T9" s="649"/>
      <c r="U9" s="640"/>
      <c r="V9" s="640"/>
      <c r="W9" s="6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s="5" customFormat="1" ht="29.45" customHeight="1" x14ac:dyDescent="0.25">
      <c r="A10" s="682" t="s">
        <v>362</v>
      </c>
      <c r="B10" s="683"/>
      <c r="C10" s="683"/>
      <c r="D10" s="683"/>
      <c r="E10" s="684"/>
      <c r="F10" s="128"/>
      <c r="G10" s="461"/>
      <c r="H10" s="45"/>
      <c r="I10" s="40">
        <v>0</v>
      </c>
      <c r="J10" s="40">
        <v>0</v>
      </c>
      <c r="K10" s="40">
        <v>0</v>
      </c>
      <c r="L10" s="40">
        <v>0</v>
      </c>
      <c r="M10" s="647" t="s">
        <v>283</v>
      </c>
      <c r="N10" s="648"/>
      <c r="O10" s="648"/>
      <c r="P10" s="495"/>
      <c r="Q10" s="223">
        <v>0</v>
      </c>
      <c r="R10" s="223">
        <v>0</v>
      </c>
      <c r="S10" s="223">
        <v>0</v>
      </c>
      <c r="T10" s="223">
        <v>0</v>
      </c>
      <c r="U10" s="640"/>
      <c r="V10" s="640"/>
      <c r="W10" s="6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6.899999999999999" customHeight="1" x14ac:dyDescent="0.25">
      <c r="A11" s="685" t="s">
        <v>137</v>
      </c>
      <c r="B11" s="686"/>
      <c r="C11" s="686"/>
      <c r="D11" s="28"/>
      <c r="E11" s="28"/>
      <c r="F11" s="28"/>
      <c r="G11" s="5"/>
      <c r="H11" s="9"/>
      <c r="I11" s="659" t="s">
        <v>106</v>
      </c>
      <c r="J11" s="659"/>
      <c r="K11" s="659"/>
      <c r="L11" s="659"/>
      <c r="M11" s="119"/>
      <c r="N11" s="121"/>
      <c r="O11" s="5"/>
      <c r="P11" s="9"/>
      <c r="Q11" s="578" t="s">
        <v>329</v>
      </c>
      <c r="R11" s="578"/>
      <c r="S11" s="578"/>
      <c r="T11" s="578"/>
      <c r="U11" s="640"/>
      <c r="V11" s="640"/>
      <c r="W11" s="641"/>
    </row>
    <row r="12" spans="1:38" ht="16.899999999999999" customHeight="1" x14ac:dyDescent="0.25">
      <c r="A12" s="687" t="s">
        <v>135</v>
      </c>
      <c r="B12" s="688"/>
      <c r="C12" s="22">
        <v>0</v>
      </c>
      <c r="D12" s="689" t="s">
        <v>180</v>
      </c>
      <c r="E12" s="690"/>
      <c r="F12" s="690"/>
      <c r="G12" s="462"/>
      <c r="H12" s="46"/>
      <c r="I12" s="40">
        <v>0</v>
      </c>
      <c r="J12" s="40">
        <v>0</v>
      </c>
      <c r="K12" s="40">
        <v>0</v>
      </c>
      <c r="L12" s="40">
        <v>0</v>
      </c>
      <c r="M12" s="263"/>
      <c r="N12" s="122"/>
      <c r="O12" s="122"/>
      <c r="P12" s="496"/>
      <c r="Q12" s="223">
        <v>0</v>
      </c>
      <c r="R12" s="223">
        <v>0</v>
      </c>
      <c r="S12" s="223">
        <v>0</v>
      </c>
      <c r="T12" s="223">
        <v>0</v>
      </c>
      <c r="U12" s="640"/>
      <c r="V12" s="640"/>
      <c r="W12" s="641"/>
    </row>
    <row r="13" spans="1:38" s="2" customFormat="1" x14ac:dyDescent="0.25">
      <c r="A13" s="673"/>
      <c r="B13" s="674"/>
      <c r="C13" s="674"/>
      <c r="D13" s="5"/>
      <c r="E13" s="5"/>
      <c r="F13" s="5"/>
      <c r="G13" s="463"/>
      <c r="H13" s="47"/>
      <c r="I13" s="659" t="s">
        <v>108</v>
      </c>
      <c r="J13" s="659"/>
      <c r="K13" s="659"/>
      <c r="L13" s="659"/>
      <c r="M13" s="122"/>
      <c r="N13" s="122"/>
      <c r="O13" s="122"/>
      <c r="P13" s="496"/>
      <c r="Q13" s="607" t="s">
        <v>330</v>
      </c>
      <c r="R13" s="607"/>
      <c r="S13" s="607"/>
      <c r="T13" s="607"/>
      <c r="U13" s="640"/>
      <c r="V13" s="640"/>
      <c r="W13" s="641"/>
    </row>
    <row r="14" spans="1:38" ht="21.6" customHeight="1" x14ac:dyDescent="0.25">
      <c r="A14" s="675" t="s">
        <v>147</v>
      </c>
      <c r="B14" s="676"/>
      <c r="C14" s="676"/>
      <c r="D14" s="5"/>
      <c r="E14" s="5"/>
      <c r="F14" s="5"/>
      <c r="G14" s="464"/>
      <c r="H14" s="48"/>
      <c r="I14" s="40"/>
      <c r="J14" s="40"/>
      <c r="K14" s="40"/>
      <c r="L14" s="40"/>
      <c r="N14" s="262"/>
      <c r="O14" s="262"/>
      <c r="P14" s="494"/>
      <c r="Q14" s="223"/>
      <c r="R14" s="223"/>
      <c r="S14" s="223"/>
      <c r="T14" s="223"/>
      <c r="U14" s="640"/>
      <c r="V14" s="640"/>
      <c r="W14" s="641"/>
    </row>
    <row r="15" spans="1:38" ht="14.45" customHeight="1" x14ac:dyDescent="0.25">
      <c r="A15" s="142" t="s">
        <v>16</v>
      </c>
      <c r="B15" s="136" t="s">
        <v>17</v>
      </c>
      <c r="C15" s="136" t="s">
        <v>15</v>
      </c>
      <c r="D15" s="5"/>
      <c r="E15" s="5"/>
      <c r="F15" s="5"/>
      <c r="G15" s="454"/>
      <c r="H15" s="49"/>
      <c r="I15" s="677" t="s">
        <v>109</v>
      </c>
      <c r="J15" s="677"/>
      <c r="K15" s="677"/>
      <c r="L15" s="678"/>
      <c r="M15" s="262"/>
      <c r="N15" s="262"/>
      <c r="O15" s="262"/>
      <c r="P15" s="494"/>
      <c r="Q15" s="607" t="s">
        <v>331</v>
      </c>
      <c r="R15" s="607"/>
      <c r="S15" s="607"/>
      <c r="T15" s="607"/>
      <c r="U15" s="640"/>
      <c r="V15" s="640"/>
      <c r="W15" s="641"/>
    </row>
    <row r="16" spans="1:38" ht="14.45" customHeight="1" x14ac:dyDescent="0.2">
      <c r="A16" s="217" t="s">
        <v>144</v>
      </c>
      <c r="B16" s="143">
        <v>0</v>
      </c>
      <c r="C16" s="82">
        <f>B16*3700</f>
        <v>0</v>
      </c>
      <c r="E16" s="129"/>
      <c r="F16" s="129"/>
      <c r="G16" s="454"/>
      <c r="H16" s="49"/>
      <c r="I16" s="332">
        <f>IF(($B$2="S-Stone"),(I10/1000*I12/1000*14/1000*1850),IF(($B$2="S-Sense"),SUM((I10/1000*I12/1000*14/1000*1850),(I10/1000*I12/1000*1/1000*2*2000)),0))</f>
        <v>0</v>
      </c>
      <c r="J16" s="332">
        <f t="shared" ref="J16:L16" si="0">IF(($B$2="S-Stone"),(J10/1000*J12/1000*14/1000*1850),IF(($B$2="S-Sense"),SUM((J10/1000*J12/1000*14/1000*1850),(J10/1000*J12/1000*1/1000*2*2000)),0))</f>
        <v>0</v>
      </c>
      <c r="K16" s="332">
        <f t="shared" si="0"/>
        <v>0</v>
      </c>
      <c r="L16" s="332">
        <f t="shared" si="0"/>
        <v>0</v>
      </c>
      <c r="M16" s="646" t="s">
        <v>282</v>
      </c>
      <c r="N16" s="646"/>
      <c r="O16" s="646"/>
      <c r="P16" s="494"/>
      <c r="Q16" s="332">
        <f>IF(($B$2="S-Stone"),(Q10/1000*Q12/1000*14/1000*1850),IF(($B$2="S-Sense"),SUM((Q10/1000*Q12/1000*14/1000*1850),(Q10/1000*Q12/1000*1/1000*2*2000)),0))</f>
        <v>0</v>
      </c>
      <c r="R16" s="332">
        <f t="shared" ref="R16:T16" si="1">IF(($B$2="S-Stone"),(R10/1000*R12/1000*14/1000*1850),IF(($B$2="S-Sense"),SUM((R10/1000*R12/1000*14/1000*1850),(R10/1000*R12/1000*1/1000*2*2000)),0))</f>
        <v>0</v>
      </c>
      <c r="S16" s="332">
        <f t="shared" si="1"/>
        <v>0</v>
      </c>
      <c r="T16" s="332">
        <f t="shared" si="1"/>
        <v>0</v>
      </c>
      <c r="U16" s="640"/>
      <c r="V16" s="640"/>
      <c r="W16" s="641"/>
    </row>
    <row r="17" spans="1:23" ht="15.6" customHeight="1" x14ac:dyDescent="0.2">
      <c r="A17" s="217" t="s">
        <v>145</v>
      </c>
      <c r="B17" s="143">
        <v>0</v>
      </c>
      <c r="C17" s="82">
        <f>B17*5600</f>
        <v>0</v>
      </c>
      <c r="D17" s="129"/>
      <c r="E17" s="129"/>
      <c r="F17" s="129"/>
      <c r="G17" s="5"/>
      <c r="H17" s="9"/>
      <c r="I17" s="679" t="s">
        <v>110</v>
      </c>
      <c r="J17" s="679"/>
      <c r="K17" s="679"/>
      <c r="L17" s="679"/>
      <c r="M17" s="646"/>
      <c r="N17" s="646"/>
      <c r="O17" s="646"/>
      <c r="P17" s="9"/>
      <c r="Q17" s="600" t="s">
        <v>338</v>
      </c>
      <c r="R17" s="600"/>
      <c r="S17" s="600"/>
      <c r="T17" s="600"/>
      <c r="U17" s="640"/>
      <c r="V17" s="640"/>
      <c r="W17" s="641"/>
    </row>
    <row r="18" spans="1:23" ht="15.6" customHeight="1" x14ac:dyDescent="0.2">
      <c r="A18" s="217" t="s">
        <v>240</v>
      </c>
      <c r="B18" s="143">
        <v>0</v>
      </c>
      <c r="C18" s="82">
        <f>B18*10100</f>
        <v>0</v>
      </c>
      <c r="D18" s="5"/>
      <c r="E18" s="5"/>
      <c r="F18" s="5"/>
      <c r="G18" s="5"/>
      <c r="H18" s="9"/>
      <c r="I18" s="22">
        <v>0</v>
      </c>
      <c r="J18" s="22">
        <v>0</v>
      </c>
      <c r="K18" s="22">
        <v>0</v>
      </c>
      <c r="L18" s="22">
        <v>0</v>
      </c>
      <c r="M18" s="646"/>
      <c r="N18" s="646"/>
      <c r="O18" s="646"/>
      <c r="P18" s="9"/>
      <c r="Q18" s="183">
        <v>0</v>
      </c>
      <c r="R18" s="183">
        <v>0</v>
      </c>
      <c r="S18" s="183">
        <v>0</v>
      </c>
      <c r="T18" s="183">
        <v>0</v>
      </c>
      <c r="U18" s="640"/>
      <c r="V18" s="640"/>
      <c r="W18" s="641"/>
    </row>
    <row r="19" spans="1:23" ht="16.899999999999999" customHeight="1" x14ac:dyDescent="0.2">
      <c r="A19" s="217" t="s">
        <v>241</v>
      </c>
      <c r="B19" s="143">
        <v>0</v>
      </c>
      <c r="C19" s="79">
        <f>B19*12100</f>
        <v>0</v>
      </c>
      <c r="D19" s="300" t="s">
        <v>146</v>
      </c>
      <c r="E19" s="660" t="s">
        <v>244</v>
      </c>
      <c r="F19" s="660"/>
      <c r="G19" s="5"/>
      <c r="H19" s="9"/>
      <c r="I19" s="661" t="s">
        <v>171</v>
      </c>
      <c r="J19" s="661"/>
      <c r="K19" s="661"/>
      <c r="L19" s="661"/>
      <c r="M19" s="119"/>
      <c r="N19" s="5"/>
      <c r="O19" s="5"/>
      <c r="P19" s="9"/>
      <c r="Q19" s="644" t="s">
        <v>332</v>
      </c>
      <c r="R19" s="644"/>
      <c r="S19" s="644"/>
      <c r="T19" s="644"/>
      <c r="U19" s="640"/>
      <c r="V19" s="640"/>
      <c r="W19" s="641"/>
    </row>
    <row r="20" spans="1:23" ht="17.45" customHeight="1" x14ac:dyDescent="0.25">
      <c r="A20" s="217" t="s">
        <v>242</v>
      </c>
      <c r="B20" s="143">
        <v>0</v>
      </c>
      <c r="C20" s="79">
        <f>B20*10100</f>
        <v>0</v>
      </c>
      <c r="D20" s="185"/>
      <c r="E20" s="130"/>
      <c r="F20" s="187"/>
      <c r="G20" s="5"/>
      <c r="H20" s="9"/>
      <c r="I20" s="218" t="s">
        <v>174</v>
      </c>
      <c r="J20" s="93"/>
      <c r="K20" s="218" t="s">
        <v>174</v>
      </c>
      <c r="L20" s="465" t="s">
        <v>174</v>
      </c>
      <c r="M20" s="119"/>
      <c r="N20" s="5"/>
      <c r="O20" s="5"/>
      <c r="P20" s="9"/>
      <c r="Q20" s="621" t="s">
        <v>333</v>
      </c>
      <c r="R20" s="621" t="s">
        <v>334</v>
      </c>
      <c r="S20" s="645" t="s">
        <v>337</v>
      </c>
      <c r="T20" s="621" t="s">
        <v>335</v>
      </c>
      <c r="U20" s="640"/>
      <c r="V20" s="640"/>
      <c r="W20" s="641"/>
    </row>
    <row r="21" spans="1:23" ht="18.75" customHeight="1" x14ac:dyDescent="0.25">
      <c r="A21" s="217" t="s">
        <v>243</v>
      </c>
      <c r="B21" s="143">
        <v>0</v>
      </c>
      <c r="C21" s="79">
        <f>B21*12100</f>
        <v>0</v>
      </c>
      <c r="D21" s="5"/>
      <c r="E21" s="657" t="s">
        <v>181</v>
      </c>
      <c r="F21" s="658"/>
      <c r="G21" s="5"/>
      <c r="H21" s="9"/>
      <c r="I21" s="115">
        <v>0</v>
      </c>
      <c r="J21" s="94"/>
      <c r="K21" s="115">
        <v>0</v>
      </c>
      <c r="L21" s="115">
        <v>0</v>
      </c>
      <c r="M21" s="93"/>
      <c r="N21" s="5"/>
      <c r="O21" s="5"/>
      <c r="P21" s="9"/>
      <c r="Q21" s="621"/>
      <c r="R21" s="621"/>
      <c r="S21" s="621"/>
      <c r="T21" s="621"/>
      <c r="U21" s="640"/>
      <c r="V21" s="640"/>
      <c r="W21" s="641"/>
    </row>
    <row r="22" spans="1:23" ht="17.45" customHeight="1" x14ac:dyDescent="0.25">
      <c r="A22" s="132"/>
      <c r="B22" s="133"/>
      <c r="C22" s="133"/>
      <c r="D22" s="133"/>
      <c r="E22" s="136" t="s">
        <v>17</v>
      </c>
      <c r="F22" s="136" t="s">
        <v>15</v>
      </c>
      <c r="G22" s="5"/>
      <c r="H22" s="9"/>
      <c r="I22" s="219" t="s">
        <v>172</v>
      </c>
      <c r="J22" s="94"/>
      <c r="K22" s="219" t="s">
        <v>175</v>
      </c>
      <c r="L22" s="219" t="s">
        <v>175</v>
      </c>
      <c r="M22" s="119"/>
      <c r="N22" s="5"/>
      <c r="O22" s="5"/>
      <c r="P22" s="9"/>
      <c r="Q22" s="223">
        <v>0</v>
      </c>
      <c r="R22" s="223">
        <v>0</v>
      </c>
      <c r="S22" s="223"/>
      <c r="T22" s="223">
        <v>0</v>
      </c>
      <c r="U22" s="640"/>
      <c r="V22" s="640"/>
      <c r="W22" s="641"/>
    </row>
    <row r="23" spans="1:23" ht="17.45" customHeight="1" x14ac:dyDescent="0.25">
      <c r="A23" s="662" t="s">
        <v>170</v>
      </c>
      <c r="B23" s="663"/>
      <c r="C23" s="139">
        <v>0</v>
      </c>
      <c r="D23" s="88"/>
      <c r="E23" s="137">
        <v>0</v>
      </c>
      <c r="F23" s="138">
        <f>E23*29400</f>
        <v>0</v>
      </c>
      <c r="G23" s="87"/>
      <c r="H23" s="9"/>
      <c r="I23" s="116" t="s">
        <v>24</v>
      </c>
      <c r="J23" s="94"/>
      <c r="K23" s="116" t="s">
        <v>24</v>
      </c>
      <c r="L23" s="116" t="s">
        <v>24</v>
      </c>
      <c r="M23" s="119"/>
      <c r="N23" s="5"/>
      <c r="O23" s="5"/>
      <c r="P23" s="9"/>
      <c r="Q23" s="88"/>
      <c r="R23" s="88"/>
      <c r="S23" s="88"/>
      <c r="T23" s="88"/>
      <c r="U23" s="640"/>
      <c r="V23" s="640"/>
      <c r="W23" s="641"/>
    </row>
    <row r="24" spans="1:23" ht="17.45" customHeight="1" x14ac:dyDescent="0.25">
      <c r="A24" s="664" t="s">
        <v>367</v>
      </c>
      <c r="B24" s="665"/>
      <c r="C24" s="126"/>
      <c r="D24" s="129"/>
      <c r="E24" s="668" t="s">
        <v>368</v>
      </c>
      <c r="F24" s="669"/>
      <c r="G24" s="305"/>
      <c r="H24" s="9"/>
      <c r="I24" s="219" t="s">
        <v>173</v>
      </c>
      <c r="J24" s="94"/>
      <c r="K24" s="96"/>
      <c r="L24" s="96"/>
      <c r="M24" s="119"/>
      <c r="N24" s="5"/>
      <c r="O24" s="5"/>
      <c r="P24" s="9"/>
      <c r="Q24" s="627" t="s">
        <v>338</v>
      </c>
      <c r="R24" s="621" t="s">
        <v>336</v>
      </c>
      <c r="S24" s="88"/>
      <c r="T24" s="88"/>
      <c r="U24" s="640"/>
      <c r="V24" s="640"/>
      <c r="W24" s="641"/>
    </row>
    <row r="25" spans="1:23" ht="19.149999999999999" customHeight="1" x14ac:dyDescent="0.25">
      <c r="A25" s="666"/>
      <c r="B25" s="667"/>
      <c r="C25" s="127"/>
      <c r="D25" s="670"/>
      <c r="E25" s="669"/>
      <c r="F25" s="669"/>
      <c r="G25" s="305"/>
      <c r="H25" s="9"/>
      <c r="I25" s="116" t="s">
        <v>24</v>
      </c>
      <c r="J25" s="94"/>
      <c r="K25" s="94"/>
      <c r="L25" s="94"/>
      <c r="M25" s="119"/>
      <c r="N25" s="5"/>
      <c r="O25" s="5"/>
      <c r="P25" s="9"/>
      <c r="Q25" s="628"/>
      <c r="R25" s="621"/>
      <c r="S25" s="88"/>
      <c r="T25" s="88"/>
      <c r="U25" s="640"/>
      <c r="V25" s="640"/>
      <c r="W25" s="641"/>
    </row>
    <row r="26" spans="1:23" ht="17.45" customHeight="1" x14ac:dyDescent="0.25">
      <c r="A26" s="666"/>
      <c r="B26" s="667"/>
      <c r="C26" s="127"/>
      <c r="D26" s="670"/>
      <c r="E26" s="198" t="s">
        <v>139</v>
      </c>
      <c r="F26" s="137" t="s">
        <v>148</v>
      </c>
      <c r="G26" s="114"/>
      <c r="H26" s="9"/>
      <c r="I26" s="617" t="s">
        <v>301</v>
      </c>
      <c r="J26" s="617"/>
      <c r="K26" s="617"/>
      <c r="L26" s="617"/>
      <c r="M26" s="119"/>
      <c r="N26" s="5"/>
      <c r="O26" s="5"/>
      <c r="P26" s="9"/>
      <c r="Q26" s="183">
        <v>0</v>
      </c>
      <c r="R26" s="332">
        <f>IF(($B$2="S-Stone"),(Q22/1000*R22/1000*14/1000*1850*T22),IF(($B$2="S-Sense"),SUM((Q22/1000*R22/1000*14/1000*1850*T22),(Q22/1000*R22/1000*1/1000*2*2000*T22)),0))</f>
        <v>0</v>
      </c>
      <c r="S26" s="88"/>
      <c r="T26" s="88"/>
      <c r="U26" s="640"/>
      <c r="V26" s="640"/>
      <c r="W26" s="641"/>
    </row>
    <row r="27" spans="1:23" ht="20.25" customHeight="1" x14ac:dyDescent="0.25">
      <c r="A27" s="666"/>
      <c r="B27" s="667"/>
      <c r="C27" s="127"/>
      <c r="D27" s="651" t="s">
        <v>364</v>
      </c>
      <c r="E27" s="651"/>
      <c r="F27" s="651"/>
      <c r="G27" s="114"/>
      <c r="H27" s="9"/>
      <c r="I27" s="617"/>
      <c r="J27" s="617"/>
      <c r="K27" s="617"/>
      <c r="L27" s="617"/>
      <c r="M27" s="453"/>
      <c r="N27" s="453"/>
      <c r="O27" s="453"/>
      <c r="P27" s="9"/>
      <c r="Q27" s="88"/>
      <c r="R27" s="88"/>
      <c r="S27" s="88"/>
      <c r="T27" s="88"/>
      <c r="U27" s="640"/>
      <c r="V27" s="640"/>
      <c r="W27" s="641"/>
    </row>
    <row r="28" spans="1:23" ht="17.45" customHeight="1" x14ac:dyDescent="0.25">
      <c r="A28" s="666"/>
      <c r="B28" s="667"/>
      <c r="C28" s="127"/>
      <c r="D28" s="114"/>
      <c r="E28" s="671" t="s">
        <v>33</v>
      </c>
      <c r="F28" s="672" t="s">
        <v>4</v>
      </c>
      <c r="G28" s="114"/>
      <c r="H28" s="9"/>
      <c r="I28" s="617"/>
      <c r="J28" s="617"/>
      <c r="K28" s="617"/>
      <c r="L28" s="617"/>
      <c r="M28" s="453"/>
      <c r="N28" s="453"/>
      <c r="O28" s="453"/>
      <c r="P28" s="383"/>
      <c r="Q28" s="88"/>
      <c r="R28" s="88"/>
      <c r="S28" s="88"/>
      <c r="T28" s="88"/>
      <c r="U28" s="640"/>
      <c r="V28" s="640"/>
      <c r="W28" s="641"/>
    </row>
    <row r="29" spans="1:23" ht="24.6" customHeight="1" x14ac:dyDescent="0.25">
      <c r="A29" s="666"/>
      <c r="B29" s="667"/>
      <c r="C29" s="127"/>
      <c r="D29" s="111"/>
      <c r="E29" s="671"/>
      <c r="F29" s="672"/>
      <c r="G29" s="5"/>
      <c r="H29" s="9"/>
      <c r="I29" s="617"/>
      <c r="J29" s="617"/>
      <c r="K29" s="617"/>
      <c r="L29" s="617"/>
      <c r="M29" s="453"/>
      <c r="N29" s="453"/>
      <c r="O29" s="453"/>
      <c r="P29" s="383"/>
      <c r="Q29" s="88"/>
      <c r="R29" s="88"/>
      <c r="S29" s="88"/>
      <c r="T29" s="88"/>
      <c r="U29" s="640"/>
      <c r="V29" s="640"/>
      <c r="W29" s="641"/>
    </row>
    <row r="30" spans="1:23" ht="22.15" customHeight="1" thickBot="1" x14ac:dyDescent="0.3">
      <c r="A30" s="140"/>
      <c r="B30" s="141"/>
      <c r="C30" s="112"/>
      <c r="D30" s="653" t="s">
        <v>363</v>
      </c>
      <c r="E30" s="653"/>
      <c r="F30" s="653"/>
      <c r="G30" s="11"/>
      <c r="H30" s="10"/>
      <c r="I30" s="619"/>
      <c r="J30" s="619"/>
      <c r="K30" s="619"/>
      <c r="L30" s="619"/>
      <c r="M30" s="466"/>
      <c r="N30" s="466"/>
      <c r="O30" s="466"/>
      <c r="P30" s="384"/>
      <c r="Q30" s="75"/>
      <c r="R30" s="75"/>
      <c r="S30" s="75"/>
      <c r="T30" s="75"/>
      <c r="U30" s="642"/>
      <c r="V30" s="642"/>
      <c r="W30" s="643"/>
    </row>
    <row r="31" spans="1:23" ht="10.15" customHeight="1" x14ac:dyDescent="0.25">
      <c r="A31" s="54"/>
      <c r="B31" s="123"/>
      <c r="C31" s="124"/>
      <c r="D31" s="123"/>
      <c r="E31" s="123"/>
      <c r="F31" s="123"/>
      <c r="G31" s="53"/>
      <c r="H31" s="9"/>
      <c r="I31" s="165"/>
      <c r="J31" s="165"/>
      <c r="K31" s="165"/>
      <c r="L31" s="122"/>
      <c r="M31" s="165"/>
      <c r="N31" s="165"/>
      <c r="O31" s="169"/>
      <c r="P31" s="54"/>
      <c r="Q31" s="654" t="s">
        <v>290</v>
      </c>
      <c r="R31" s="654"/>
      <c r="S31" s="654"/>
      <c r="T31" s="654"/>
      <c r="U31" s="123"/>
      <c r="V31" s="123"/>
      <c r="W31" s="53"/>
    </row>
    <row r="32" spans="1:23" ht="15.6" customHeight="1" x14ac:dyDescent="0.25">
      <c r="A32" s="636" t="s">
        <v>256</v>
      </c>
      <c r="B32" s="629"/>
      <c r="C32" s="629"/>
      <c r="D32" s="629" t="s">
        <v>257</v>
      </c>
      <c r="E32" s="629"/>
      <c r="F32" s="629"/>
      <c r="G32" s="8"/>
      <c r="H32" s="9"/>
      <c r="I32" s="629" t="s">
        <v>267</v>
      </c>
      <c r="J32" s="629"/>
      <c r="K32" s="629"/>
      <c r="L32" s="637" t="s">
        <v>268</v>
      </c>
      <c r="M32" s="637"/>
      <c r="N32" s="637"/>
      <c r="O32" s="169"/>
      <c r="P32" s="9"/>
      <c r="Q32" s="655"/>
      <c r="R32" s="655"/>
      <c r="S32" s="655"/>
      <c r="T32" s="655"/>
      <c r="U32" s="122"/>
      <c r="V32" s="122"/>
      <c r="W32" s="60"/>
    </row>
    <row r="33" spans="1:23" x14ac:dyDescent="0.25">
      <c r="A33" s="9"/>
      <c r="B33" s="5"/>
      <c r="C33" s="5"/>
      <c r="D33" s="5"/>
      <c r="E33" s="5"/>
      <c r="F33" s="5"/>
      <c r="G33" s="8"/>
      <c r="H33" s="9"/>
      <c r="I33" s="165"/>
      <c r="J33" s="165"/>
      <c r="K33" s="165"/>
      <c r="L33" s="122"/>
      <c r="M33" s="165"/>
      <c r="N33" s="165"/>
      <c r="O33" s="169"/>
      <c r="P33" s="9"/>
      <c r="Q33" s="122"/>
      <c r="R33" s="122"/>
      <c r="S33" s="617" t="s">
        <v>299</v>
      </c>
      <c r="T33" s="617"/>
      <c r="U33" s="617"/>
      <c r="V33" s="617"/>
      <c r="W33" s="60"/>
    </row>
    <row r="34" spans="1:23" x14ac:dyDescent="0.25">
      <c r="A34" s="9"/>
      <c r="B34" s="5"/>
      <c r="C34" s="5"/>
      <c r="D34" s="5"/>
      <c r="E34" s="5"/>
      <c r="F34" s="5"/>
      <c r="G34" s="8"/>
      <c r="H34" s="9"/>
      <c r="I34" s="165"/>
      <c r="J34" s="165"/>
      <c r="K34" s="165"/>
      <c r="L34" s="122"/>
      <c r="M34" s="165"/>
      <c r="N34" s="165"/>
      <c r="O34" s="169"/>
      <c r="P34" s="65"/>
      <c r="Q34" s="275" t="s">
        <v>289</v>
      </c>
      <c r="R34" s="291" t="s">
        <v>300</v>
      </c>
      <c r="S34" s="283" t="s">
        <v>293</v>
      </c>
      <c r="T34" s="283" t="s">
        <v>294</v>
      </c>
      <c r="U34" s="283" t="s">
        <v>295</v>
      </c>
      <c r="V34" s="275" t="s">
        <v>296</v>
      </c>
      <c r="W34" s="63"/>
    </row>
    <row r="35" spans="1:23" x14ac:dyDescent="0.25">
      <c r="A35" s="9"/>
      <c r="B35" s="5"/>
      <c r="C35" s="5"/>
      <c r="D35" s="5"/>
      <c r="E35" s="5"/>
      <c r="F35" s="5"/>
      <c r="G35" s="8"/>
      <c r="H35" s="9"/>
      <c r="I35" s="165"/>
      <c r="J35" s="165"/>
      <c r="K35" s="165"/>
      <c r="L35" s="122"/>
      <c r="M35" s="165"/>
      <c r="N35" s="165"/>
      <c r="O35" s="169"/>
      <c r="P35" s="298">
        <f>IF(($B$2="S-Stone"),(SUM(R35/1000*$B$5/1000*0.014*1850*IF(AND(W35&gt;=200,W35&lt;=1000,OR(S35&gt;=200,T35&gt;=200,U35&gt;=200)),COUNTIFS(S35:U35,"&gt;=200",S35:U35,"&lt;=1000")),W35/1000*$B$5/1000*0.014*1850)),IF(($B$2="S-Sense"),(SUM(R35/1000*$B$5/1000*0.014*1850*IF(AND(W35&gt;=200,W35&lt;=1000,OR(S35&gt;=200,T35&gt;=200,U35&gt;=200)),COUNTIFS(S35:U35,"&gt;=200",S35:U35,"&lt;=1000")),W35/1000*$B$5/1000*0.014*1850,R35/1000*$B$5/1000*0.001*2000*2*IF(AND(W35&gt;=200,W35&lt;=1000,OR(S35&gt;=200,T35&gt;=200,U35&gt;=200)),COUNTIFS(S35:U35,"&gt;=200",S35:U35,"&lt;=1000")),W35/1000*$B$5/1000*0.001*2000*2)),0))</f>
        <v>0</v>
      </c>
      <c r="Q35" s="279" t="s">
        <v>271</v>
      </c>
      <c r="R35" s="280">
        <v>200</v>
      </c>
      <c r="S35" s="282">
        <v>0</v>
      </c>
      <c r="T35" s="282">
        <v>0</v>
      </c>
      <c r="U35" s="282">
        <v>0</v>
      </c>
      <c r="V35" s="279">
        <f>IF(AND(W35&gt;=200,W35&lt;=1000,OR(S35&gt;=200,T35&gt;=200,U35&gt;=200)),IF($F$9="RAL, указать:",IF(AND(W35&gt;=200,W35&lt;=1000,OR(S35&gt;=200,T35&gt;=200,U35&gt;=200)),COUNTIFS(S35:U35,"&gt;=200",S35:U35,"&lt;=1000")*25000*1.5),IF(AND(W35&gt;=200,W35&lt;=1000,OR(S35&gt;=200,T35&gt;=200,U35&gt;=200)),COUNTIFS(S35:U35,"&gt;=200",S35:U35,"&lt;=1000")*25000)),0)</f>
        <v>0</v>
      </c>
      <c r="W35" s="292">
        <f>SUM(S35:U35)</f>
        <v>0</v>
      </c>
    </row>
    <row r="36" spans="1:23" ht="14.45" customHeight="1" x14ac:dyDescent="0.25">
      <c r="A36" s="9"/>
      <c r="B36" s="5"/>
      <c r="C36" s="5"/>
      <c r="D36" s="5"/>
      <c r="E36" s="5"/>
      <c r="F36" s="5"/>
      <c r="G36" s="8"/>
      <c r="H36" s="9"/>
      <c r="I36" s="165"/>
      <c r="J36" s="165"/>
      <c r="K36" s="165"/>
      <c r="L36" s="122"/>
      <c r="M36" s="165"/>
      <c r="N36" s="165"/>
      <c r="O36" s="169"/>
      <c r="P36" s="298">
        <f t="shared" ref="P36:P37" si="2">IF(($B$2="S-Stone"),(SUM(R36/1000*$B$5/1000*0.014*1850*IF(AND(W36&gt;=200,W36&lt;=1000,OR(S36&gt;=200,T36&gt;=200,U36&gt;=200)),COUNTIFS(S36:U36,"&gt;=200",S36:U36,"&lt;=1000")),W36/1000*$B$5/1000*0.014*1850)),IF(($B$2="S-Sense"),(SUM(R36/1000*$B$5/1000*0.014*1850*IF(AND(W36&gt;=200,W36&lt;=1000,OR(S36&gt;=200,T36&gt;=200,U36&gt;=200)),COUNTIFS(S36:U36,"&gt;=200",S36:U36,"&lt;=1000")),W36/1000*$B$5/1000*0.014*1850,R36/1000*$B$5/1000*0.001*2000*2*IF(AND(W36&gt;=200,W36&lt;=1000,OR(S36&gt;=200,T36&gt;=200,U36&gt;=200)),COUNTIFS(S36:U36,"&gt;=200",S36:U36,"&lt;=1000")),W36/1000*$B$5/1000*0.001*2000*2)),0))</f>
        <v>0</v>
      </c>
      <c r="Q36" s="279" t="s">
        <v>272</v>
      </c>
      <c r="R36" s="280">
        <v>200</v>
      </c>
      <c r="S36" s="282">
        <v>0</v>
      </c>
      <c r="T36" s="282">
        <v>0</v>
      </c>
      <c r="U36" s="282">
        <v>0</v>
      </c>
      <c r="V36" s="279">
        <f t="shared" ref="V36:V37" si="3">IF(AND(W36&gt;=200,W36&lt;=1000,OR(S36&gt;=200,T36&gt;=200,U36&gt;=200)),IF($F$9="RAL, указать:",IF(AND(W36&gt;=200,W36&lt;=1000,OR(S36&gt;=200,T36&gt;=200,U36&gt;=200)),COUNTIFS(S36:U36,"&gt;=200",S36:U36,"&lt;=1000")*25000*1.5),IF(AND(W36&gt;=200,W36&lt;=1000,OR(S36&gt;=200,T36&gt;=200,U36&gt;=200)),COUNTIFS(S36:U36,"&gt;=200",S36:U36,"&lt;=1000")*25000)),0)</f>
        <v>0</v>
      </c>
      <c r="W36" s="292">
        <f t="shared" ref="W36:W37" si="4">SUM(S36:U36)</f>
        <v>0</v>
      </c>
    </row>
    <row r="37" spans="1:23" x14ac:dyDescent="0.25">
      <c r="A37" s="9"/>
      <c r="B37" s="5"/>
      <c r="C37" s="5"/>
      <c r="D37" s="5"/>
      <c r="E37" s="5"/>
      <c r="F37" s="5"/>
      <c r="G37" s="8"/>
      <c r="H37" s="9"/>
      <c r="I37" s="165"/>
      <c r="J37" s="165"/>
      <c r="K37" s="165"/>
      <c r="L37" s="122"/>
      <c r="M37" s="165"/>
      <c r="N37" s="165"/>
      <c r="O37" s="169"/>
      <c r="P37" s="298">
        <f t="shared" si="2"/>
        <v>0</v>
      </c>
      <c r="Q37" s="279" t="s">
        <v>291</v>
      </c>
      <c r="R37" s="280">
        <v>200</v>
      </c>
      <c r="S37" s="282">
        <v>0</v>
      </c>
      <c r="T37" s="282">
        <v>0</v>
      </c>
      <c r="U37" s="282">
        <v>0</v>
      </c>
      <c r="V37" s="279">
        <f t="shared" si="3"/>
        <v>0</v>
      </c>
      <c r="W37" s="292">
        <f t="shared" si="4"/>
        <v>0</v>
      </c>
    </row>
    <row r="38" spans="1:23" ht="14.45" customHeight="1" x14ac:dyDescent="0.25">
      <c r="A38" s="9"/>
      <c r="B38" s="5"/>
      <c r="C38" s="5"/>
      <c r="D38" s="5"/>
      <c r="E38" s="5"/>
      <c r="F38" s="5"/>
      <c r="G38" s="8"/>
      <c r="H38" s="9"/>
      <c r="I38" s="165"/>
      <c r="J38" s="165"/>
      <c r="K38" s="165"/>
      <c r="L38" s="122"/>
      <c r="M38" s="165"/>
      <c r="N38" s="165"/>
      <c r="O38" s="169"/>
      <c r="P38" s="9"/>
      <c r="Q38" s="122"/>
      <c r="R38" s="122"/>
      <c r="S38" s="122"/>
      <c r="T38" s="122"/>
      <c r="U38" s="122"/>
      <c r="V38" s="122"/>
      <c r="W38" s="60"/>
    </row>
    <row r="39" spans="1:23" ht="14.45" customHeight="1" x14ac:dyDescent="0.25">
      <c r="A39" s="9"/>
      <c r="B39" s="5"/>
      <c r="C39" s="5"/>
      <c r="D39" s="5"/>
      <c r="E39" s="5"/>
      <c r="F39" s="5"/>
      <c r="G39" s="8"/>
      <c r="H39" s="9"/>
      <c r="I39" s="165"/>
      <c r="J39" s="165"/>
      <c r="K39" s="165"/>
      <c r="L39" s="122"/>
      <c r="M39" s="165"/>
      <c r="N39" s="165"/>
      <c r="O39" s="169"/>
      <c r="P39" s="9"/>
      <c r="Q39" s="633" t="s">
        <v>303</v>
      </c>
      <c r="R39" s="633"/>
      <c r="S39" s="633"/>
      <c r="T39" s="165"/>
      <c r="U39" s="165"/>
      <c r="V39" s="165"/>
      <c r="W39" s="169"/>
    </row>
    <row r="40" spans="1:23" ht="14.45" customHeight="1" x14ac:dyDescent="0.25">
      <c r="A40" s="9"/>
      <c r="B40" s="5"/>
      <c r="C40" s="5"/>
      <c r="D40" s="501"/>
      <c r="E40" s="502"/>
      <c r="F40" s="502"/>
      <c r="G40" s="8"/>
      <c r="H40" s="9"/>
      <c r="I40" s="165"/>
      <c r="J40" s="165"/>
      <c r="K40" s="165"/>
      <c r="L40" s="122"/>
      <c r="M40" s="165"/>
      <c r="N40" s="165"/>
      <c r="O40" s="169"/>
      <c r="P40" s="9"/>
      <c r="Q40" s="633"/>
      <c r="R40" s="633"/>
      <c r="S40" s="633"/>
      <c r="T40" s="165"/>
      <c r="U40" s="165"/>
      <c r="V40" s="165"/>
      <c r="W40" s="169"/>
    </row>
    <row r="41" spans="1:23" x14ac:dyDescent="0.25">
      <c r="A41" s="9"/>
      <c r="B41" s="5"/>
      <c r="C41" s="5"/>
      <c r="D41" s="502"/>
      <c r="E41" s="502"/>
      <c r="F41" s="502"/>
      <c r="G41" s="8"/>
      <c r="H41" s="9"/>
      <c r="I41" s="165"/>
      <c r="J41" s="165"/>
      <c r="K41" s="165"/>
      <c r="L41" s="122"/>
      <c r="M41" s="165"/>
      <c r="N41" s="165"/>
      <c r="O41" s="169"/>
      <c r="P41" s="9"/>
      <c r="Q41" s="633"/>
      <c r="R41" s="633"/>
      <c r="S41" s="633"/>
      <c r="T41" s="165"/>
      <c r="U41" s="165"/>
      <c r="V41" s="165"/>
      <c r="W41" s="169"/>
    </row>
    <row r="42" spans="1:23" x14ac:dyDescent="0.25">
      <c r="A42" s="9"/>
      <c r="B42" s="5"/>
      <c r="C42" s="5"/>
      <c r="D42" s="502"/>
      <c r="E42" s="502"/>
      <c r="F42" s="502"/>
      <c r="G42" s="8"/>
      <c r="H42" s="9"/>
      <c r="I42" s="165"/>
      <c r="J42" s="165"/>
      <c r="K42" s="165"/>
      <c r="L42" s="122"/>
      <c r="M42" s="165"/>
      <c r="N42" s="165"/>
      <c r="O42" s="169"/>
      <c r="P42" s="9"/>
      <c r="Q42" s="633"/>
      <c r="R42" s="633"/>
      <c r="S42" s="633"/>
      <c r="T42" s="165"/>
      <c r="U42" s="165"/>
      <c r="V42" s="165"/>
      <c r="W42" s="169"/>
    </row>
    <row r="43" spans="1:23" x14ac:dyDescent="0.25">
      <c r="A43" s="9"/>
      <c r="B43" s="5"/>
      <c r="C43" s="5"/>
      <c r="D43" s="502"/>
      <c r="E43" s="502"/>
      <c r="F43" s="502"/>
      <c r="G43" s="8"/>
      <c r="H43" s="9"/>
      <c r="I43" s="165"/>
      <c r="J43" s="165"/>
      <c r="K43" s="165"/>
      <c r="L43" s="122"/>
      <c r="M43" s="165"/>
      <c r="N43" s="165"/>
      <c r="O43" s="169"/>
      <c r="P43" s="9"/>
      <c r="Q43" s="633"/>
      <c r="R43" s="633"/>
      <c r="S43" s="633"/>
      <c r="T43" s="165"/>
      <c r="U43" s="165"/>
      <c r="V43" s="165"/>
      <c r="W43" s="169"/>
    </row>
    <row r="44" spans="1:23" x14ac:dyDescent="0.25">
      <c r="A44" s="9"/>
      <c r="B44" s="5"/>
      <c r="C44" s="5"/>
      <c r="D44" s="502"/>
      <c r="E44" s="502"/>
      <c r="F44" s="502"/>
      <c r="G44" s="8"/>
      <c r="H44" s="9"/>
      <c r="I44" s="165"/>
      <c r="J44" s="165"/>
      <c r="K44" s="165"/>
      <c r="L44" s="122"/>
      <c r="M44" s="165"/>
      <c r="N44" s="165"/>
      <c r="O44" s="169"/>
      <c r="P44" s="9"/>
      <c r="Q44" s="633"/>
      <c r="R44" s="633"/>
      <c r="S44" s="633"/>
      <c r="T44" s="165"/>
      <c r="U44" s="165"/>
      <c r="V44" s="165"/>
      <c r="W44" s="169"/>
    </row>
    <row r="45" spans="1:23" x14ac:dyDescent="0.25">
      <c r="A45" s="9"/>
      <c r="B45" s="5"/>
      <c r="C45" s="5"/>
      <c r="D45" s="5"/>
      <c r="E45" s="5"/>
      <c r="F45" s="5"/>
      <c r="G45" s="8"/>
      <c r="H45" s="9"/>
      <c r="I45" s="165"/>
      <c r="J45" s="165"/>
      <c r="K45" s="635" t="s">
        <v>151</v>
      </c>
      <c r="L45" s="635"/>
      <c r="M45" s="165"/>
      <c r="N45" s="165"/>
      <c r="O45" s="169"/>
      <c r="P45" s="9"/>
      <c r="Q45" s="633"/>
      <c r="R45" s="633"/>
      <c r="S45" s="633"/>
      <c r="U45" s="165"/>
      <c r="V45" s="165"/>
      <c r="W45" s="169"/>
    </row>
    <row r="46" spans="1:23" ht="15" customHeight="1" x14ac:dyDescent="0.25">
      <c r="A46" s="385"/>
      <c r="B46" s="120"/>
      <c r="C46" s="120"/>
      <c r="D46" s="5"/>
      <c r="E46" s="5"/>
      <c r="F46" s="5"/>
      <c r="G46" s="8"/>
      <c r="H46" s="9"/>
      <c r="I46" s="165"/>
      <c r="J46" s="165"/>
      <c r="K46" s="165"/>
      <c r="L46" s="122"/>
      <c r="M46" s="165"/>
      <c r="N46" s="165"/>
      <c r="O46" s="169"/>
      <c r="P46" s="9"/>
      <c r="Q46" s="633"/>
      <c r="R46" s="633"/>
      <c r="S46" s="633"/>
      <c r="T46" s="656" t="s">
        <v>397</v>
      </c>
      <c r="U46" s="656"/>
      <c r="V46" s="602" t="s">
        <v>285</v>
      </c>
      <c r="W46" s="603"/>
    </row>
    <row r="47" spans="1:23" x14ac:dyDescent="0.25">
      <c r="A47" s="9"/>
      <c r="B47" s="5"/>
      <c r="C47" s="5"/>
      <c r="D47" s="5"/>
      <c r="E47" s="5"/>
      <c r="F47" s="5"/>
      <c r="G47" s="8"/>
      <c r="H47" s="9"/>
      <c r="I47" s="165"/>
      <c r="J47" s="165"/>
      <c r="K47" s="165"/>
      <c r="L47" s="122"/>
      <c r="M47" s="165"/>
      <c r="N47" s="165"/>
      <c r="O47" s="169"/>
      <c r="P47" s="9"/>
      <c r="Q47" s="633"/>
      <c r="R47" s="633"/>
      <c r="S47" s="633"/>
      <c r="T47" s="122"/>
      <c r="U47" s="165"/>
      <c r="V47" s="165"/>
      <c r="W47" s="169"/>
    </row>
    <row r="48" spans="1:23" x14ac:dyDescent="0.25">
      <c r="A48" s="9"/>
      <c r="B48" s="5"/>
      <c r="C48" s="630" t="s">
        <v>132</v>
      </c>
      <c r="D48" s="630"/>
      <c r="E48" s="5"/>
      <c r="F48" s="5"/>
      <c r="G48" s="8"/>
      <c r="H48" s="9"/>
      <c r="I48" s="165"/>
      <c r="J48" s="165"/>
      <c r="K48" s="165"/>
      <c r="L48" s="122"/>
      <c r="M48" s="165"/>
      <c r="N48" s="165"/>
      <c r="O48" s="169"/>
      <c r="P48" s="9"/>
      <c r="Q48" s="633"/>
      <c r="R48" s="633"/>
      <c r="S48" s="633"/>
      <c r="T48" s="122"/>
      <c r="U48" s="165"/>
      <c r="V48" s="165"/>
      <c r="W48" s="169"/>
    </row>
    <row r="49" spans="1:23" x14ac:dyDescent="0.25">
      <c r="A49" s="9"/>
      <c r="B49" s="5"/>
      <c r="C49" s="5"/>
      <c r="D49" s="5"/>
      <c r="E49" s="5"/>
      <c r="F49" s="5"/>
      <c r="G49" s="8"/>
      <c r="H49" s="9"/>
      <c r="I49" s="165"/>
      <c r="J49" s="165"/>
      <c r="K49" s="165"/>
      <c r="L49" s="122"/>
      <c r="M49" s="165"/>
      <c r="N49" s="165"/>
      <c r="O49" s="169"/>
      <c r="P49" s="9"/>
      <c r="Q49" s="165"/>
      <c r="R49" s="165"/>
      <c r="S49" s="165"/>
      <c r="T49" s="122"/>
      <c r="U49" s="165"/>
      <c r="V49" s="165"/>
      <c r="W49" s="169"/>
    </row>
    <row r="50" spans="1:23" x14ac:dyDescent="0.25">
      <c r="A50" s="9"/>
      <c r="B50" s="5"/>
      <c r="C50" s="5"/>
      <c r="D50" s="5"/>
      <c r="E50" s="5"/>
      <c r="F50" s="5"/>
      <c r="G50" s="8"/>
      <c r="H50" s="9"/>
      <c r="I50" s="165"/>
      <c r="J50" s="165"/>
      <c r="K50" s="165"/>
      <c r="L50" s="122"/>
      <c r="M50" s="165"/>
      <c r="N50" s="165"/>
      <c r="O50" s="169"/>
      <c r="P50" s="9"/>
      <c r="Q50" s="165"/>
      <c r="R50" s="165"/>
      <c r="S50" s="165"/>
      <c r="T50" s="122"/>
      <c r="U50" s="165"/>
      <c r="V50" s="165"/>
      <c r="W50" s="169"/>
    </row>
    <row r="51" spans="1:23" x14ac:dyDescent="0.25">
      <c r="A51" s="9"/>
      <c r="B51" s="5"/>
      <c r="C51" s="5"/>
      <c r="D51" s="5"/>
      <c r="E51" s="5"/>
      <c r="F51" s="5"/>
      <c r="G51" s="8"/>
      <c r="H51" s="9"/>
      <c r="I51" s="165"/>
      <c r="J51" s="165"/>
      <c r="K51" s="165"/>
      <c r="L51" s="122"/>
      <c r="M51" s="165"/>
      <c r="N51" s="165"/>
      <c r="O51" s="169"/>
      <c r="P51" s="9"/>
      <c r="Q51" s="165"/>
      <c r="R51" s="165"/>
      <c r="S51" s="165"/>
      <c r="T51" s="122"/>
      <c r="U51" s="165"/>
      <c r="V51" s="165"/>
      <c r="W51" s="169"/>
    </row>
    <row r="52" spans="1:23" ht="15.6" customHeight="1" x14ac:dyDescent="0.25">
      <c r="A52" s="125"/>
      <c r="B52" s="120"/>
      <c r="C52" s="120"/>
      <c r="D52" s="120"/>
      <c r="E52" s="120"/>
      <c r="F52" s="120"/>
      <c r="G52" s="8"/>
      <c r="H52" s="9"/>
      <c r="I52" s="165"/>
      <c r="J52" s="165"/>
      <c r="K52" s="165"/>
      <c r="L52" s="122"/>
      <c r="M52" s="165"/>
      <c r="N52" s="165"/>
      <c r="O52" s="169"/>
      <c r="P52" s="9"/>
      <c r="Q52" s="165"/>
      <c r="R52" s="165"/>
      <c r="S52" s="165"/>
      <c r="T52" s="122"/>
      <c r="U52" s="165"/>
      <c r="V52" s="165"/>
      <c r="W52" s="169"/>
    </row>
    <row r="53" spans="1:23" ht="14.45" customHeight="1" x14ac:dyDescent="0.25">
      <c r="A53" s="125"/>
      <c r="B53" s="120"/>
      <c r="C53" s="120"/>
      <c r="D53" s="120"/>
      <c r="E53" s="120"/>
      <c r="F53" s="120"/>
      <c r="G53" s="8"/>
      <c r="H53" s="9"/>
      <c r="I53" s="165"/>
      <c r="J53" s="165"/>
      <c r="K53" s="165"/>
      <c r="L53" s="122"/>
      <c r="M53" s="165"/>
      <c r="N53" s="165"/>
      <c r="O53" s="169"/>
      <c r="P53" s="9"/>
      <c r="Q53" s="165"/>
      <c r="R53" s="165"/>
      <c r="S53" s="165"/>
      <c r="T53" s="122"/>
      <c r="U53" s="165"/>
      <c r="V53" s="165"/>
      <c r="W53" s="169"/>
    </row>
    <row r="54" spans="1:23" ht="14.45" customHeight="1" x14ac:dyDescent="0.25">
      <c r="A54" s="125"/>
      <c r="B54" s="120"/>
      <c r="C54" s="120"/>
      <c r="D54" s="120"/>
      <c r="E54" s="120"/>
      <c r="F54" s="120"/>
      <c r="G54" s="8"/>
      <c r="H54" s="9"/>
      <c r="I54" s="122"/>
      <c r="J54" s="122"/>
      <c r="K54" s="122"/>
      <c r="L54" s="122"/>
      <c r="M54" s="165"/>
      <c r="N54" s="165"/>
      <c r="O54" s="169"/>
      <c r="P54" s="9"/>
      <c r="Q54" s="165"/>
      <c r="R54" s="165"/>
      <c r="S54" s="165"/>
      <c r="T54" s="122"/>
      <c r="U54" s="165"/>
      <c r="V54" s="165"/>
      <c r="W54" s="169"/>
    </row>
    <row r="55" spans="1:23" ht="14.45" customHeight="1" x14ac:dyDescent="0.25">
      <c r="A55" s="125"/>
      <c r="B55" s="120"/>
      <c r="C55" s="120"/>
      <c r="D55" s="120"/>
      <c r="E55" s="120"/>
      <c r="F55" s="120"/>
      <c r="G55" s="8"/>
      <c r="H55" s="9"/>
      <c r="I55" s="122"/>
      <c r="J55" s="122"/>
      <c r="K55" s="630" t="s">
        <v>152</v>
      </c>
      <c r="L55" s="630"/>
      <c r="M55" s="165"/>
      <c r="N55" s="165"/>
      <c r="O55" s="169"/>
      <c r="P55" s="9"/>
      <c r="Q55" s="165"/>
      <c r="R55" s="165"/>
      <c r="S55" s="165"/>
      <c r="T55" s="122"/>
      <c r="U55" s="165"/>
      <c r="V55" s="165"/>
      <c r="W55" s="169"/>
    </row>
    <row r="56" spans="1:23" x14ac:dyDescent="0.25">
      <c r="A56" s="125"/>
      <c r="B56" s="120"/>
      <c r="C56" s="120"/>
      <c r="D56" s="120"/>
      <c r="E56" s="120"/>
      <c r="F56" s="120"/>
      <c r="G56" s="8"/>
      <c r="H56" s="9"/>
      <c r="I56" s="122"/>
      <c r="J56" s="122"/>
      <c r="K56" s="122"/>
      <c r="L56" s="122"/>
      <c r="M56" s="165"/>
      <c r="N56" s="165"/>
      <c r="O56" s="169"/>
      <c r="P56" s="9"/>
      <c r="Q56" s="165"/>
      <c r="R56" s="165"/>
      <c r="S56" s="165"/>
      <c r="T56" s="122"/>
      <c r="U56" s="165"/>
      <c r="V56" s="165"/>
      <c r="W56" s="169"/>
    </row>
    <row r="57" spans="1:23" ht="19.149999999999999" customHeight="1" x14ac:dyDescent="0.25">
      <c r="A57" s="125"/>
      <c r="B57" s="120"/>
      <c r="C57" s="120"/>
      <c r="D57" s="120"/>
      <c r="E57" s="652"/>
      <c r="F57" s="652"/>
      <c r="G57" s="8"/>
      <c r="H57" s="9"/>
      <c r="I57" s="122"/>
      <c r="J57" s="122"/>
      <c r="K57" s="122"/>
      <c r="L57" s="122"/>
      <c r="M57" s="165"/>
      <c r="N57" s="165"/>
      <c r="O57" s="285"/>
      <c r="P57" s="9"/>
      <c r="Q57" s="165"/>
      <c r="R57" s="165"/>
      <c r="S57" s="165"/>
      <c r="T57" s="122"/>
      <c r="U57" s="165"/>
      <c r="V57" s="165"/>
      <c r="W57" s="169"/>
    </row>
    <row r="58" spans="1:23" ht="19.149999999999999" customHeight="1" x14ac:dyDescent="0.25">
      <c r="A58" s="634"/>
      <c r="B58" s="635"/>
      <c r="C58" s="635"/>
      <c r="D58" s="120"/>
      <c r="E58" s="652"/>
      <c r="F58" s="652"/>
      <c r="G58" s="8"/>
      <c r="H58" s="9"/>
      <c r="I58" s="122"/>
      <c r="J58" s="122"/>
      <c r="K58" s="122"/>
      <c r="L58" s="122"/>
      <c r="M58" s="165"/>
      <c r="N58" s="165"/>
      <c r="O58" s="285"/>
      <c r="P58" s="9"/>
      <c r="Q58" s="165"/>
      <c r="R58" s="165"/>
      <c r="S58" s="165"/>
      <c r="T58" s="122"/>
      <c r="U58" s="165"/>
      <c r="V58" s="165"/>
      <c r="W58" s="169"/>
    </row>
    <row r="59" spans="1:23" ht="18" customHeight="1" x14ac:dyDescent="0.25">
      <c r="A59" s="9"/>
      <c r="B59" s="245"/>
      <c r="C59" s="245"/>
      <c r="D59" s="245"/>
      <c r="E59" s="245"/>
      <c r="F59" s="5"/>
      <c r="G59" s="8"/>
      <c r="H59" s="9"/>
      <c r="I59" s="122"/>
      <c r="J59" s="122"/>
      <c r="K59" s="122"/>
      <c r="L59" s="122"/>
      <c r="M59" s="165"/>
      <c r="N59" s="165"/>
      <c r="O59" s="285"/>
      <c r="P59" s="9"/>
      <c r="Q59" s="165"/>
      <c r="R59" s="165"/>
      <c r="S59" s="165"/>
      <c r="T59" s="122"/>
      <c r="U59" s="165"/>
      <c r="V59" s="165"/>
      <c r="W59" s="169"/>
    </row>
    <row r="60" spans="1:23" x14ac:dyDescent="0.25">
      <c r="A60" s="9"/>
      <c r="B60" s="5"/>
      <c r="C60" s="5"/>
      <c r="D60" s="5"/>
      <c r="E60" s="5"/>
      <c r="F60" s="5"/>
      <c r="G60" s="8"/>
      <c r="H60" s="9"/>
      <c r="I60" s="122"/>
      <c r="J60" s="122"/>
      <c r="K60" s="122"/>
      <c r="L60" s="122"/>
      <c r="M60" s="165"/>
      <c r="N60" s="165"/>
      <c r="O60" s="169"/>
      <c r="P60" s="9"/>
      <c r="Q60" s="165"/>
      <c r="R60" s="165"/>
      <c r="S60" s="165"/>
      <c r="T60" s="122"/>
      <c r="U60" s="165"/>
      <c r="V60" s="165"/>
      <c r="W60" s="169"/>
    </row>
    <row r="61" spans="1:23" x14ac:dyDescent="0.25">
      <c r="A61" s="9"/>
      <c r="B61" s="5"/>
      <c r="C61" s="5"/>
      <c r="D61" s="5"/>
      <c r="E61" s="5"/>
      <c r="F61" s="5"/>
      <c r="G61" s="8"/>
      <c r="H61" s="296"/>
      <c r="I61" s="295"/>
      <c r="J61" s="295"/>
      <c r="K61" s="295"/>
      <c r="L61" s="295"/>
      <c r="M61" s="165"/>
      <c r="N61" s="165"/>
      <c r="O61" s="297"/>
      <c r="P61" s="9"/>
      <c r="Q61" s="165"/>
      <c r="R61" s="165"/>
      <c r="S61" s="165"/>
      <c r="T61" s="122"/>
      <c r="U61" s="165"/>
      <c r="V61" s="165"/>
      <c r="W61" s="169"/>
    </row>
    <row r="62" spans="1:23" x14ac:dyDescent="0.25">
      <c r="A62" s="9"/>
      <c r="B62" s="5"/>
      <c r="C62" s="500"/>
      <c r="D62" s="500"/>
      <c r="E62" s="5"/>
      <c r="F62" s="5"/>
      <c r="G62" s="8"/>
      <c r="H62" s="296"/>
      <c r="I62" s="295"/>
      <c r="J62" s="295"/>
      <c r="K62" s="295"/>
      <c r="L62" s="295"/>
      <c r="M62" s="165"/>
      <c r="N62" s="165"/>
      <c r="O62" s="297"/>
      <c r="P62" s="9"/>
      <c r="Q62" s="165"/>
      <c r="R62" s="165"/>
      <c r="S62" s="165"/>
      <c r="T62" s="122"/>
      <c r="U62" s="165"/>
      <c r="V62" s="165"/>
      <c r="W62" s="169"/>
    </row>
    <row r="63" spans="1:23" x14ac:dyDescent="0.25">
      <c r="A63" s="9"/>
      <c r="B63" s="5"/>
      <c r="C63" s="5"/>
      <c r="D63" s="5"/>
      <c r="E63" s="5"/>
      <c r="F63" s="5"/>
      <c r="G63" s="8"/>
      <c r="H63" s="296"/>
      <c r="I63" s="295"/>
      <c r="J63" s="295"/>
      <c r="K63" s="630" t="s">
        <v>153</v>
      </c>
      <c r="L63" s="630"/>
      <c r="M63" s="295"/>
      <c r="N63" s="295"/>
      <c r="O63" s="297"/>
      <c r="P63" s="9"/>
      <c r="Q63" s="165"/>
      <c r="R63" s="165"/>
      <c r="S63" s="165"/>
      <c r="T63" s="122"/>
      <c r="U63" s="165"/>
      <c r="V63" s="165"/>
      <c r="W63" s="169"/>
    </row>
    <row r="64" spans="1:23" x14ac:dyDescent="0.25">
      <c r="A64" s="5"/>
      <c r="B64" s="5"/>
      <c r="C64" s="5"/>
      <c r="D64" s="5"/>
      <c r="E64" s="5"/>
      <c r="F64" s="5"/>
      <c r="G64" s="8"/>
      <c r="H64" s="296"/>
      <c r="I64" s="295"/>
      <c r="J64" s="295"/>
      <c r="K64" s="295"/>
      <c r="L64" s="295"/>
      <c r="M64" s="295"/>
      <c r="N64" s="295"/>
      <c r="O64" s="297"/>
      <c r="P64" s="9"/>
      <c r="Q64" s="165"/>
      <c r="R64" s="165"/>
      <c r="S64" s="165"/>
      <c r="T64" s="122"/>
      <c r="U64" s="165"/>
      <c r="V64" s="165"/>
      <c r="W64" s="169"/>
    </row>
    <row r="65" spans="1:23" x14ac:dyDescent="0.25">
      <c r="A65" s="5"/>
      <c r="B65" s="5"/>
      <c r="C65" s="630" t="s">
        <v>277</v>
      </c>
      <c r="D65" s="630"/>
      <c r="E65" s="5"/>
      <c r="F65" s="5"/>
      <c r="G65" s="8"/>
      <c r="H65" s="296"/>
      <c r="I65" s="295"/>
      <c r="J65" s="295"/>
      <c r="K65" s="295"/>
      <c r="L65" s="295"/>
      <c r="M65" s="295"/>
      <c r="N65" s="295"/>
      <c r="O65" s="297"/>
      <c r="P65" s="9"/>
      <c r="Q65" s="165"/>
      <c r="R65" s="165"/>
      <c r="S65" s="165"/>
      <c r="T65" s="122"/>
      <c r="U65" s="165"/>
      <c r="V65" s="165"/>
      <c r="W65" s="169"/>
    </row>
    <row r="66" spans="1:23" x14ac:dyDescent="0.25">
      <c r="A66" s="5"/>
      <c r="B66" s="5"/>
      <c r="C66" s="5"/>
      <c r="D66" s="5"/>
      <c r="E66" s="5"/>
      <c r="F66" s="5"/>
      <c r="G66" s="8"/>
      <c r="H66" s="296"/>
      <c r="I66" s="295"/>
      <c r="J66" s="295"/>
      <c r="K66" s="295"/>
      <c r="L66" s="295"/>
      <c r="M66" s="295"/>
      <c r="N66" s="295"/>
      <c r="O66" s="297"/>
      <c r="P66" s="9"/>
      <c r="Q66" s="165"/>
      <c r="R66" s="165"/>
      <c r="S66" s="165"/>
      <c r="T66" s="122"/>
      <c r="U66" s="165"/>
      <c r="V66" s="165"/>
      <c r="W66" s="169"/>
    </row>
    <row r="67" spans="1:23" ht="13.9" customHeight="1" x14ac:dyDescent="0.25">
      <c r="A67" s="5"/>
      <c r="B67" s="5"/>
      <c r="C67" s="5"/>
      <c r="D67" s="5"/>
      <c r="E67" s="5"/>
      <c r="F67" s="5"/>
      <c r="G67" s="8"/>
      <c r="H67" s="296"/>
      <c r="I67" s="295"/>
      <c r="J67" s="295"/>
      <c r="K67" s="295"/>
      <c r="L67" s="295"/>
      <c r="M67" s="295"/>
      <c r="N67" s="295"/>
      <c r="O67" s="297"/>
      <c r="P67" s="9"/>
      <c r="Q67" s="165"/>
      <c r="R67" s="165"/>
      <c r="S67" s="165"/>
      <c r="T67" s="122"/>
      <c r="U67" s="165"/>
      <c r="V67" s="165"/>
      <c r="W67" s="169"/>
    </row>
    <row r="68" spans="1:23" x14ac:dyDescent="0.25">
      <c r="A68" s="5"/>
      <c r="B68" s="5"/>
      <c r="C68" s="5"/>
      <c r="D68" s="5"/>
      <c r="E68" s="5"/>
      <c r="F68" s="5"/>
      <c r="G68" s="8"/>
      <c r="H68" s="296"/>
      <c r="I68" s="295"/>
      <c r="J68" s="295"/>
      <c r="K68" s="295"/>
      <c r="L68" s="295"/>
      <c r="M68" s="295"/>
      <c r="N68" s="295"/>
      <c r="O68" s="297"/>
      <c r="P68" s="9"/>
      <c r="Q68" s="165"/>
      <c r="R68" s="165"/>
      <c r="S68" s="165"/>
      <c r="T68" s="122"/>
      <c r="U68" s="165"/>
      <c r="V68" s="165"/>
      <c r="W68" s="169"/>
    </row>
    <row r="69" spans="1:23" x14ac:dyDescent="0.25">
      <c r="A69" s="5"/>
      <c r="B69" s="5"/>
      <c r="C69" s="5"/>
      <c r="D69" s="5"/>
      <c r="E69" s="5"/>
      <c r="F69" s="5"/>
      <c r="G69" s="8"/>
      <c r="H69" s="296"/>
      <c r="I69" s="295"/>
      <c r="J69" s="295"/>
      <c r="K69" s="295"/>
      <c r="L69" s="295"/>
      <c r="M69" s="295"/>
      <c r="N69" s="295"/>
      <c r="O69" s="297"/>
      <c r="P69" s="9"/>
      <c r="Q69" s="165"/>
      <c r="R69" s="165"/>
      <c r="S69" s="165"/>
      <c r="T69" s="122"/>
      <c r="U69" s="165"/>
      <c r="V69" s="165"/>
      <c r="W69" s="169"/>
    </row>
    <row r="70" spans="1:23" x14ac:dyDescent="0.25">
      <c r="A70" s="5"/>
      <c r="B70" s="5"/>
      <c r="C70" s="5"/>
      <c r="D70" s="5"/>
      <c r="E70" s="5"/>
      <c r="F70" s="5"/>
      <c r="G70" s="8"/>
      <c r="H70" s="296"/>
      <c r="I70" s="295"/>
      <c r="J70" s="295"/>
      <c r="K70" s="295"/>
      <c r="L70" s="295"/>
      <c r="M70" s="295"/>
      <c r="N70" s="295"/>
      <c r="O70" s="297"/>
      <c r="P70" s="9"/>
      <c r="Q70" s="165"/>
      <c r="R70" s="165"/>
      <c r="S70" s="165"/>
      <c r="T70" s="122"/>
      <c r="U70" s="165"/>
      <c r="V70" s="165"/>
      <c r="W70" s="169"/>
    </row>
    <row r="71" spans="1:23" x14ac:dyDescent="0.25">
      <c r="A71" s="5"/>
      <c r="B71" s="5"/>
      <c r="C71" s="5"/>
      <c r="D71" s="5"/>
      <c r="E71" s="5"/>
      <c r="F71" s="5"/>
      <c r="G71" s="8"/>
      <c r="H71" s="296"/>
      <c r="I71" s="295"/>
      <c r="J71" s="295"/>
      <c r="K71" s="295"/>
      <c r="L71" s="295"/>
      <c r="M71" s="295"/>
      <c r="N71" s="295"/>
      <c r="O71" s="297"/>
      <c r="P71" s="9"/>
      <c r="Q71" s="165"/>
      <c r="R71" s="165"/>
      <c r="S71" s="165"/>
      <c r="T71" s="122"/>
      <c r="U71" s="165"/>
      <c r="V71" s="165"/>
      <c r="W71" s="169"/>
    </row>
    <row r="72" spans="1:23" ht="15" customHeight="1" x14ac:dyDescent="0.25">
      <c r="A72" s="5"/>
      <c r="B72" s="5"/>
      <c r="C72" s="5"/>
      <c r="D72" s="5"/>
      <c r="E72" s="5"/>
      <c r="F72" s="5"/>
      <c r="G72" s="8"/>
      <c r="H72" s="296"/>
      <c r="I72" s="295"/>
      <c r="J72" s="295"/>
      <c r="K72" s="295"/>
      <c r="L72" s="295"/>
      <c r="M72" s="295"/>
      <c r="N72" s="295"/>
      <c r="O72" s="297"/>
      <c r="P72" s="9"/>
      <c r="Q72" s="165"/>
      <c r="R72" s="165"/>
      <c r="S72" s="165"/>
      <c r="T72" s="122"/>
      <c r="U72" s="165"/>
      <c r="V72" s="165"/>
      <c r="W72" s="169"/>
    </row>
    <row r="73" spans="1:23" x14ac:dyDescent="0.25">
      <c r="A73" s="5"/>
      <c r="B73" s="5"/>
      <c r="C73" s="5"/>
      <c r="D73" s="5"/>
      <c r="E73" s="5"/>
      <c r="F73" s="5"/>
      <c r="G73" s="8"/>
      <c r="H73" s="296"/>
      <c r="I73" s="652" t="s">
        <v>138</v>
      </c>
      <c r="J73" s="652"/>
      <c r="K73" s="295"/>
      <c r="L73" s="295"/>
      <c r="M73" s="295"/>
      <c r="N73" s="295"/>
      <c r="O73" s="297"/>
      <c r="P73" s="9"/>
      <c r="Q73" s="165"/>
      <c r="R73" s="165"/>
      <c r="S73" s="165"/>
      <c r="T73" s="122"/>
      <c r="U73" s="165"/>
      <c r="V73" s="165"/>
      <c r="W73" s="169"/>
    </row>
    <row r="74" spans="1:23" x14ac:dyDescent="0.25">
      <c r="A74" s="5"/>
      <c r="B74" s="5"/>
      <c r="C74" s="5"/>
      <c r="D74" s="5"/>
      <c r="E74" s="5"/>
      <c r="F74" s="5"/>
      <c r="G74" s="8"/>
      <c r="H74" s="296"/>
      <c r="I74" s="295"/>
      <c r="J74" s="295"/>
      <c r="K74" s="295"/>
      <c r="L74" s="295"/>
      <c r="M74" s="295"/>
      <c r="N74" s="295"/>
      <c r="O74" s="297"/>
      <c r="P74" s="9"/>
      <c r="Q74" s="165"/>
      <c r="R74" s="165"/>
      <c r="S74" s="165"/>
      <c r="T74" s="122"/>
      <c r="U74" s="165"/>
      <c r="V74" s="165"/>
      <c r="W74" s="169"/>
    </row>
    <row r="75" spans="1:23" x14ac:dyDescent="0.25">
      <c r="A75" s="5"/>
      <c r="B75" s="5"/>
      <c r="C75" s="5"/>
      <c r="D75" s="5"/>
      <c r="E75" s="5"/>
      <c r="F75" s="5"/>
      <c r="G75" s="8"/>
      <c r="H75" s="296"/>
      <c r="I75" s="295"/>
      <c r="J75" s="295"/>
      <c r="K75" s="295"/>
      <c r="L75" s="295"/>
      <c r="M75" s="295"/>
      <c r="N75" s="295"/>
      <c r="O75" s="297"/>
      <c r="P75" s="9"/>
      <c r="Q75" s="165"/>
      <c r="R75" s="165"/>
      <c r="S75" s="165"/>
      <c r="T75" s="122"/>
      <c r="U75" s="165"/>
      <c r="V75" s="165"/>
      <c r="W75" s="169"/>
    </row>
    <row r="76" spans="1:23" x14ac:dyDescent="0.25">
      <c r="A76" s="5"/>
      <c r="B76" s="5"/>
      <c r="C76" s="5"/>
      <c r="D76" s="5"/>
      <c r="E76" s="5"/>
      <c r="F76" s="5"/>
      <c r="G76" s="8"/>
      <c r="H76" s="296"/>
      <c r="I76" s="295"/>
      <c r="J76" s="295"/>
      <c r="K76" s="295"/>
      <c r="L76" s="295"/>
      <c r="M76" s="295"/>
      <c r="N76" s="295"/>
      <c r="O76" s="297"/>
      <c r="P76" s="9"/>
      <c r="Q76" s="165"/>
      <c r="R76" s="165"/>
      <c r="S76" s="165"/>
      <c r="T76" s="122"/>
      <c r="U76" s="165"/>
      <c r="V76" s="165"/>
      <c r="W76" s="169"/>
    </row>
    <row r="77" spans="1:23" x14ac:dyDescent="0.25">
      <c r="A77" s="5"/>
      <c r="B77" s="5"/>
      <c r="C77" s="5"/>
      <c r="D77" s="5"/>
      <c r="E77" s="5"/>
      <c r="F77" s="5"/>
      <c r="G77" s="8"/>
      <c r="H77" s="296"/>
      <c r="I77" s="295"/>
      <c r="J77" s="295"/>
      <c r="K77" s="295"/>
      <c r="L77" s="295"/>
      <c r="M77" s="295"/>
      <c r="N77" s="295"/>
      <c r="O77" s="297"/>
      <c r="P77" s="9"/>
      <c r="Q77" s="632" t="s">
        <v>304</v>
      </c>
      <c r="R77" s="632"/>
      <c r="S77" s="165"/>
      <c r="T77" s="122"/>
      <c r="U77" s="631" t="s">
        <v>305</v>
      </c>
      <c r="V77" s="631"/>
      <c r="W77" s="169"/>
    </row>
    <row r="78" spans="1:23" x14ac:dyDescent="0.25">
      <c r="A78" s="45"/>
      <c r="B78" s="5"/>
      <c r="C78" s="5"/>
      <c r="D78" s="5"/>
      <c r="E78" s="5"/>
      <c r="F78" s="5"/>
      <c r="G78" s="5"/>
      <c r="H78" s="296"/>
      <c r="I78" s="295"/>
      <c r="J78" s="295"/>
      <c r="K78" s="295"/>
      <c r="L78" s="295"/>
      <c r="M78" s="295"/>
      <c r="N78" s="295"/>
      <c r="O78" s="297"/>
      <c r="P78" s="9"/>
      <c r="Q78" s="295"/>
      <c r="R78" s="295"/>
      <c r="S78" s="295"/>
      <c r="T78" s="295"/>
      <c r="U78" s="295"/>
      <c r="V78" s="295"/>
      <c r="W78" s="169"/>
    </row>
    <row r="79" spans="1:23" ht="14.45" customHeight="1" x14ac:dyDescent="0.25">
      <c r="A79" s="9"/>
      <c r="B79" s="5"/>
      <c r="C79" s="500"/>
      <c r="D79" s="500"/>
      <c r="E79" s="5"/>
      <c r="F79" s="5"/>
      <c r="G79" s="5"/>
      <c r="H79" s="296"/>
      <c r="I79" s="295"/>
      <c r="J79" s="295"/>
      <c r="K79" s="295"/>
      <c r="L79" s="295"/>
      <c r="M79" s="295"/>
      <c r="N79" s="295"/>
      <c r="O79" s="297"/>
      <c r="P79" s="9"/>
      <c r="Q79" s="165"/>
      <c r="R79" s="165"/>
      <c r="S79" s="165"/>
      <c r="T79" s="122"/>
      <c r="U79" s="165"/>
      <c r="V79" s="165"/>
      <c r="W79" s="169"/>
    </row>
    <row r="80" spans="1:23" x14ac:dyDescent="0.25">
      <c r="A80" s="9"/>
      <c r="B80" s="5"/>
      <c r="C80" s="5"/>
      <c r="D80" s="5"/>
      <c r="E80" s="5"/>
      <c r="F80" s="5"/>
      <c r="G80" s="5"/>
      <c r="H80" s="296"/>
      <c r="I80" s="295"/>
      <c r="J80" s="295"/>
      <c r="K80" s="295"/>
      <c r="L80" s="295"/>
      <c r="M80" s="295"/>
      <c r="N80" s="295"/>
      <c r="O80" s="297"/>
      <c r="P80" s="9"/>
      <c r="Q80" s="165"/>
      <c r="R80" s="165"/>
      <c r="S80" s="165"/>
      <c r="T80" s="122"/>
      <c r="U80" s="165"/>
      <c r="V80" s="165"/>
      <c r="W80" s="169"/>
    </row>
    <row r="81" spans="1:23" ht="14.45" customHeight="1" x14ac:dyDescent="0.25">
      <c r="A81" s="9"/>
      <c r="B81" s="5"/>
      <c r="C81" s="5"/>
      <c r="D81" s="5"/>
      <c r="E81" s="5"/>
      <c r="F81" s="5"/>
      <c r="G81" s="5"/>
      <c r="H81" s="296"/>
      <c r="I81" s="295"/>
      <c r="J81" s="295"/>
      <c r="K81" s="295"/>
      <c r="L81" s="295"/>
      <c r="M81" s="295"/>
      <c r="N81" s="295"/>
      <c r="O81" s="297"/>
      <c r="P81" s="9"/>
      <c r="Q81" s="165"/>
      <c r="R81" s="165"/>
      <c r="S81" s="165"/>
      <c r="T81" s="122"/>
      <c r="U81" s="165"/>
      <c r="V81" s="165"/>
      <c r="W81" s="169"/>
    </row>
    <row r="82" spans="1:23" x14ac:dyDescent="0.25">
      <c r="A82" s="9"/>
      <c r="B82" s="5"/>
      <c r="C82" s="5"/>
      <c r="D82" s="5"/>
      <c r="E82" s="5"/>
      <c r="F82" s="5"/>
      <c r="G82" s="5"/>
      <c r="H82" s="296"/>
      <c r="I82" s="295"/>
      <c r="J82" s="295"/>
      <c r="K82" s="295"/>
      <c r="L82" s="295"/>
      <c r="M82" s="295"/>
      <c r="N82" s="295"/>
      <c r="O82" s="297"/>
      <c r="P82" s="9"/>
      <c r="Q82" s="165"/>
      <c r="R82" s="165"/>
      <c r="S82" s="165"/>
      <c r="T82" s="122"/>
      <c r="U82" s="165"/>
      <c r="V82" s="165"/>
      <c r="W82" s="169"/>
    </row>
    <row r="83" spans="1:23" x14ac:dyDescent="0.25">
      <c r="A83" s="9"/>
      <c r="B83" s="5"/>
      <c r="C83" s="5"/>
      <c r="D83" s="5"/>
      <c r="E83" s="5"/>
      <c r="F83" s="5"/>
      <c r="G83" s="5"/>
      <c r="H83" s="296"/>
      <c r="I83" s="295"/>
      <c r="J83" s="295"/>
      <c r="K83" s="295"/>
      <c r="L83" s="638" t="s">
        <v>281</v>
      </c>
      <c r="M83" s="639"/>
      <c r="N83" s="639"/>
      <c r="O83" s="297"/>
      <c r="P83" s="9"/>
      <c r="Q83" s="165"/>
      <c r="R83" s="165"/>
      <c r="S83" s="165"/>
      <c r="T83" s="122"/>
      <c r="U83" s="165"/>
      <c r="V83" s="165"/>
      <c r="W83" s="169"/>
    </row>
    <row r="84" spans="1:23" x14ac:dyDescent="0.25">
      <c r="A84" s="9"/>
      <c r="B84" s="5"/>
      <c r="C84" s="5"/>
      <c r="D84" s="5"/>
      <c r="E84" s="5"/>
      <c r="F84" s="5"/>
      <c r="G84" s="5"/>
      <c r="H84" s="296"/>
      <c r="I84" s="295"/>
      <c r="J84" s="295"/>
      <c r="K84" s="295"/>
      <c r="L84" s="639"/>
      <c r="M84" s="639"/>
      <c r="N84" s="639"/>
      <c r="O84" s="297"/>
      <c r="P84" s="9"/>
      <c r="Q84" s="165"/>
      <c r="R84" s="165"/>
      <c r="S84" s="165"/>
      <c r="T84" s="122"/>
      <c r="U84" s="165"/>
      <c r="V84" s="165"/>
      <c r="W84" s="169"/>
    </row>
    <row r="85" spans="1:23" ht="16.5" customHeight="1" x14ac:dyDescent="0.25">
      <c r="A85" s="9"/>
      <c r="B85" s="5"/>
      <c r="C85" s="631" t="s">
        <v>276</v>
      </c>
      <c r="D85" s="631"/>
      <c r="E85" s="5"/>
      <c r="F85" s="5"/>
      <c r="G85" s="5"/>
      <c r="H85" s="296"/>
      <c r="I85" s="295"/>
      <c r="J85" s="295"/>
      <c r="K85" s="295"/>
      <c r="L85" s="639"/>
      <c r="M85" s="639"/>
      <c r="N85" s="639"/>
      <c r="O85" s="297"/>
      <c r="P85" s="9"/>
      <c r="Q85" s="165"/>
      <c r="R85" s="165"/>
      <c r="S85" s="165"/>
      <c r="T85" s="122"/>
      <c r="U85" s="165"/>
      <c r="V85" s="165"/>
      <c r="W85" s="169"/>
    </row>
    <row r="86" spans="1:23" x14ac:dyDescent="0.25">
      <c r="A86" s="9"/>
      <c r="B86" s="5"/>
      <c r="C86" s="5"/>
      <c r="D86" s="5"/>
      <c r="E86" s="5"/>
      <c r="F86" s="5"/>
      <c r="G86" s="5"/>
      <c r="H86" s="296"/>
      <c r="I86" s="295"/>
      <c r="J86" s="295"/>
      <c r="K86" s="295"/>
      <c r="L86" s="639"/>
      <c r="M86" s="639"/>
      <c r="N86" s="639"/>
      <c r="O86" s="297"/>
      <c r="P86" s="9"/>
      <c r="Q86" s="165"/>
      <c r="R86" s="165"/>
      <c r="S86" s="165"/>
      <c r="T86" s="122"/>
      <c r="U86" s="165"/>
      <c r="V86" s="165"/>
      <c r="W86" s="169"/>
    </row>
    <row r="87" spans="1:23" x14ac:dyDescent="0.25">
      <c r="A87" s="9"/>
      <c r="B87" s="5"/>
      <c r="C87" s="5"/>
      <c r="D87" s="5"/>
      <c r="E87" s="5"/>
      <c r="F87" s="5"/>
      <c r="G87" s="255"/>
      <c r="H87" s="257"/>
      <c r="I87" s="293"/>
      <c r="J87" s="293"/>
      <c r="K87" s="293"/>
      <c r="L87" s="639"/>
      <c r="M87" s="639"/>
      <c r="N87" s="639"/>
      <c r="O87" s="258"/>
      <c r="P87" s="9"/>
      <c r="Q87" s="165"/>
      <c r="R87" s="165"/>
      <c r="S87" s="165"/>
      <c r="T87" s="122"/>
      <c r="U87" s="165"/>
      <c r="V87" s="165"/>
      <c r="W87" s="169"/>
    </row>
    <row r="88" spans="1:23" x14ac:dyDescent="0.25">
      <c r="A88" s="9"/>
      <c r="B88" s="5"/>
      <c r="C88" s="5"/>
      <c r="D88" s="5"/>
      <c r="E88" s="5"/>
      <c r="F88" s="5"/>
      <c r="G88" s="256"/>
      <c r="H88" s="257"/>
      <c r="I88" s="293"/>
      <c r="J88" s="293"/>
      <c r="K88" s="293"/>
      <c r="L88" s="293"/>
      <c r="M88" s="293"/>
      <c r="N88" s="293"/>
      <c r="O88" s="258"/>
      <c r="P88" s="9"/>
      <c r="Q88" s="165"/>
      <c r="R88" s="165"/>
      <c r="S88" s="165"/>
      <c r="T88" s="122"/>
      <c r="U88" s="165"/>
      <c r="V88" s="165"/>
      <c r="W88" s="169"/>
    </row>
    <row r="89" spans="1:23" ht="14.45" customHeight="1" x14ac:dyDescent="0.25">
      <c r="A89" s="9"/>
      <c r="B89" s="5"/>
      <c r="C89" s="5"/>
      <c r="D89" s="5"/>
      <c r="E89" s="5"/>
      <c r="F89" s="5"/>
      <c r="G89" s="256"/>
      <c r="H89" s="257"/>
      <c r="I89" s="293"/>
      <c r="J89" s="293"/>
      <c r="K89" s="293"/>
      <c r="L89" s="293"/>
      <c r="M89" s="293"/>
      <c r="N89" s="293"/>
      <c r="O89" s="258"/>
      <c r="P89" s="9"/>
      <c r="Q89" s="165"/>
      <c r="R89" s="165"/>
      <c r="S89" s="165"/>
      <c r="T89" s="122"/>
      <c r="U89" s="165"/>
      <c r="V89" s="165"/>
      <c r="W89" s="169"/>
    </row>
    <row r="90" spans="1:23" ht="14.45" customHeight="1" x14ac:dyDescent="0.25">
      <c r="A90" s="9"/>
      <c r="B90" s="5"/>
      <c r="C90" s="5"/>
      <c r="D90" s="5"/>
      <c r="E90" s="5"/>
      <c r="F90" s="5"/>
      <c r="G90" s="256"/>
      <c r="H90" s="257"/>
      <c r="I90" s="293"/>
      <c r="J90" s="293"/>
      <c r="K90" s="293"/>
      <c r="L90" s="293"/>
      <c r="M90" s="293"/>
      <c r="N90" s="293"/>
      <c r="O90" s="258"/>
      <c r="P90" s="9"/>
      <c r="Q90" s="165"/>
      <c r="R90" s="165"/>
      <c r="S90" s="165"/>
      <c r="T90" s="122"/>
      <c r="U90" s="165"/>
      <c r="V90" s="165"/>
      <c r="W90" s="169"/>
    </row>
    <row r="91" spans="1:23" x14ac:dyDescent="0.25">
      <c r="A91" s="9"/>
      <c r="B91" s="5"/>
      <c r="C91" s="5"/>
      <c r="D91" s="5"/>
      <c r="E91" s="5"/>
      <c r="F91" s="5"/>
      <c r="G91" s="256"/>
      <c r="H91" s="257"/>
      <c r="I91" s="293"/>
      <c r="J91" s="293"/>
      <c r="K91" s="293"/>
      <c r="L91" s="293"/>
      <c r="M91" s="293"/>
      <c r="N91" s="293"/>
      <c r="O91" s="258"/>
      <c r="P91" s="9"/>
      <c r="R91" s="301"/>
      <c r="S91" s="301"/>
      <c r="T91" s="301"/>
      <c r="U91" s="301"/>
      <c r="V91" s="301"/>
      <c r="W91" s="169"/>
    </row>
    <row r="92" spans="1:23" ht="15.75" x14ac:dyDescent="0.25">
      <c r="A92" s="9"/>
      <c r="B92" s="253"/>
      <c r="C92" s="253"/>
      <c r="D92" s="253"/>
      <c r="E92" s="253"/>
      <c r="F92" s="5"/>
      <c r="G92" s="256"/>
      <c r="H92" s="257"/>
      <c r="I92" s="301"/>
      <c r="J92" s="301"/>
      <c r="K92" s="301"/>
      <c r="L92" s="301"/>
      <c r="M92" s="301"/>
      <c r="N92" s="301"/>
      <c r="O92" s="258"/>
      <c r="P92" s="9"/>
      <c r="Q92" s="631"/>
      <c r="R92" s="631"/>
      <c r="S92" s="631"/>
      <c r="T92" s="631"/>
      <c r="U92" s="631"/>
      <c r="V92" s="631"/>
      <c r="W92" s="169"/>
    </row>
    <row r="93" spans="1:23" ht="15.75" x14ac:dyDescent="0.25">
      <c r="A93" s="9"/>
      <c r="B93" s="253"/>
      <c r="C93" s="253"/>
      <c r="D93" s="253"/>
      <c r="E93" s="253"/>
      <c r="F93" s="5"/>
      <c r="G93" s="256"/>
      <c r="H93" s="257"/>
      <c r="I93" s="301"/>
      <c r="J93" s="301"/>
      <c r="K93" s="301"/>
      <c r="L93" s="301"/>
      <c r="M93" s="301"/>
      <c r="N93" s="301"/>
      <c r="O93" s="258"/>
      <c r="P93" s="9"/>
      <c r="Q93" s="631"/>
      <c r="R93" s="631"/>
      <c r="S93" s="631"/>
      <c r="T93" s="631"/>
      <c r="U93" s="631"/>
      <c r="V93" s="631"/>
      <c r="W93" s="169"/>
    </row>
    <row r="94" spans="1:23" ht="15.75" x14ac:dyDescent="0.25">
      <c r="A94" s="9"/>
      <c r="B94" s="253"/>
      <c r="C94" s="253"/>
      <c r="D94" s="253"/>
      <c r="E94" s="253"/>
      <c r="F94" s="5"/>
      <c r="G94" s="256"/>
      <c r="H94" s="257"/>
      <c r="I94" s="294"/>
      <c r="J94" s="294"/>
      <c r="K94" s="294"/>
      <c r="L94" s="294"/>
      <c r="M94" s="293"/>
      <c r="N94" s="293"/>
      <c r="O94" s="258"/>
      <c r="P94" s="9"/>
      <c r="Q94" s="165"/>
      <c r="R94" s="165"/>
      <c r="S94" s="165"/>
      <c r="T94" s="122"/>
      <c r="U94" s="165"/>
      <c r="V94" s="165"/>
      <c r="W94" s="169"/>
    </row>
    <row r="95" spans="1:23" ht="15.75" x14ac:dyDescent="0.25">
      <c r="A95" s="9"/>
      <c r="B95" s="5"/>
      <c r="C95" s="5"/>
      <c r="D95" s="5"/>
      <c r="E95" s="253"/>
      <c r="F95" s="5"/>
      <c r="G95" s="256"/>
      <c r="H95" s="257"/>
      <c r="I95" s="294"/>
      <c r="J95" s="294"/>
      <c r="K95" s="294"/>
      <c r="L95" s="294"/>
      <c r="M95" s="293"/>
      <c r="N95" s="293"/>
      <c r="O95" s="258"/>
      <c r="P95" s="9"/>
      <c r="Q95" s="165"/>
      <c r="R95" s="165"/>
      <c r="S95" s="165"/>
      <c r="T95" s="122"/>
      <c r="U95" s="165"/>
      <c r="V95" s="165"/>
      <c r="W95" s="169"/>
    </row>
    <row r="96" spans="1:23" ht="15.75" x14ac:dyDescent="0.25">
      <c r="A96" s="9"/>
      <c r="B96" s="5"/>
      <c r="C96" s="5"/>
      <c r="D96" s="650"/>
      <c r="E96" s="650"/>
      <c r="F96" s="5"/>
      <c r="G96" s="256"/>
      <c r="H96" s="257"/>
      <c r="I96" s="294"/>
      <c r="J96" s="294"/>
      <c r="K96" s="294"/>
      <c r="L96" s="294"/>
      <c r="M96" s="293"/>
      <c r="N96" s="293"/>
      <c r="O96" s="258"/>
      <c r="P96" s="9"/>
      <c r="Q96" s="165"/>
      <c r="R96" s="165"/>
      <c r="S96" s="165"/>
      <c r="T96" s="122"/>
      <c r="U96" s="165"/>
      <c r="V96" s="165"/>
      <c r="W96" s="169"/>
    </row>
    <row r="97" spans="1:23" ht="14.45" customHeight="1" x14ac:dyDescent="0.25">
      <c r="A97" s="9"/>
      <c r="B97" s="5"/>
      <c r="C97" s="5"/>
      <c r="D97" s="5"/>
      <c r="E97" s="5"/>
      <c r="F97" s="5"/>
      <c r="G97" s="256"/>
      <c r="H97" s="257"/>
      <c r="I97" s="294"/>
      <c r="J97" s="294"/>
      <c r="K97" s="294"/>
      <c r="L97" s="294"/>
      <c r="M97" s="293"/>
      <c r="N97" s="293"/>
      <c r="O97" s="258"/>
      <c r="P97" s="9"/>
      <c r="Q97" s="165"/>
      <c r="R97" s="165"/>
      <c r="S97" s="165"/>
      <c r="T97" s="122"/>
      <c r="U97" s="165"/>
      <c r="V97" s="165"/>
      <c r="W97" s="169"/>
    </row>
    <row r="98" spans="1:23" ht="14.45" customHeight="1" x14ac:dyDescent="0.25">
      <c r="A98" s="9"/>
      <c r="B98" s="5"/>
      <c r="C98" s="5"/>
      <c r="D98" s="5"/>
      <c r="E98" s="5"/>
      <c r="F98" s="5"/>
      <c r="G98" s="256"/>
      <c r="H98" s="257"/>
      <c r="I98" s="294"/>
      <c r="J98" s="294"/>
      <c r="K98" s="294"/>
      <c r="L98" s="294"/>
      <c r="M98" s="293"/>
      <c r="N98" s="293"/>
      <c r="O98" s="258"/>
      <c r="P98" s="9"/>
      <c r="Q98" s="165"/>
      <c r="R98" s="165"/>
      <c r="S98" s="165"/>
      <c r="T98" s="122"/>
      <c r="U98" s="165"/>
      <c r="V98" s="165"/>
      <c r="W98" s="169"/>
    </row>
    <row r="99" spans="1:23" x14ac:dyDescent="0.25">
      <c r="A99" s="9"/>
      <c r="B99" s="5"/>
      <c r="C99" s="301"/>
      <c r="D99" s="301"/>
      <c r="E99" s="5"/>
      <c r="F99" s="5"/>
      <c r="G99" s="256"/>
      <c r="H99" s="257"/>
      <c r="I99" s="293"/>
      <c r="J99" s="293"/>
      <c r="K99" s="293"/>
      <c r="L99" s="293"/>
      <c r="M99" s="293"/>
      <c r="N99" s="293"/>
      <c r="O99" s="258"/>
      <c r="P99" s="9"/>
      <c r="Q99" s="165"/>
      <c r="R99" s="165"/>
      <c r="S99" s="165"/>
      <c r="T99" s="122"/>
      <c r="U99" s="165"/>
      <c r="V99" s="165"/>
      <c r="W99" s="169"/>
    </row>
    <row r="100" spans="1:23" x14ac:dyDescent="0.25">
      <c r="A100" s="9"/>
      <c r="B100" s="5"/>
      <c r="C100" s="5"/>
      <c r="D100" s="5"/>
      <c r="E100" s="5"/>
      <c r="F100" s="5"/>
      <c r="G100" s="256"/>
      <c r="H100" s="257"/>
      <c r="I100" s="293"/>
      <c r="J100" s="293"/>
      <c r="K100" s="293"/>
      <c r="L100" s="293"/>
      <c r="M100" s="293"/>
      <c r="N100" s="293"/>
      <c r="O100" s="258"/>
      <c r="P100" s="9"/>
      <c r="Q100" s="165"/>
      <c r="R100" s="165"/>
      <c r="S100" s="165"/>
      <c r="T100" s="122"/>
      <c r="U100" s="165"/>
      <c r="V100" s="165"/>
      <c r="W100" s="169"/>
    </row>
    <row r="101" spans="1:23" x14ac:dyDescent="0.25">
      <c r="A101" s="9"/>
      <c r="B101" s="5"/>
      <c r="C101" s="5"/>
      <c r="D101" s="5"/>
      <c r="E101" s="5"/>
      <c r="F101" s="5"/>
      <c r="G101" s="256"/>
      <c r="H101" s="257"/>
      <c r="I101" s="293"/>
      <c r="J101" s="293"/>
      <c r="K101" s="293"/>
      <c r="L101" s="293"/>
      <c r="M101" s="293"/>
      <c r="N101" s="293"/>
      <c r="O101" s="258"/>
      <c r="P101" s="9"/>
      <c r="Q101" s="165"/>
      <c r="R101" s="165"/>
      <c r="S101" s="165"/>
      <c r="T101" s="122"/>
      <c r="U101" s="165"/>
      <c r="V101" s="165"/>
      <c r="W101" s="169"/>
    </row>
    <row r="102" spans="1:23" x14ac:dyDescent="0.25">
      <c r="A102" s="9"/>
      <c r="B102" s="5"/>
      <c r="C102" s="5"/>
      <c r="D102" s="5"/>
      <c r="E102" s="5"/>
      <c r="F102" s="5"/>
      <c r="G102" s="5"/>
      <c r="H102" s="257"/>
      <c r="I102" s="293"/>
      <c r="J102" s="293"/>
      <c r="K102" s="293"/>
      <c r="L102" s="293"/>
      <c r="M102" s="293"/>
      <c r="N102" s="293"/>
      <c r="O102" s="258"/>
      <c r="P102" s="9"/>
      <c r="Q102" s="165"/>
      <c r="R102" s="165"/>
      <c r="S102" s="165"/>
      <c r="T102" s="122"/>
      <c r="U102" s="165"/>
      <c r="V102" s="165"/>
      <c r="W102" s="169"/>
    </row>
    <row r="103" spans="1:23" ht="15.75" thickBot="1" x14ac:dyDescent="0.3">
      <c r="A103" s="10"/>
      <c r="B103" s="11"/>
      <c r="C103" s="11"/>
      <c r="D103" s="11"/>
      <c r="E103" s="11"/>
      <c r="F103" s="11"/>
      <c r="G103" s="11"/>
      <c r="H103" s="259"/>
      <c r="I103" s="260"/>
      <c r="J103" s="260"/>
      <c r="K103" s="260"/>
      <c r="L103" s="260"/>
      <c r="M103" s="260"/>
      <c r="N103" s="260"/>
      <c r="O103" s="261"/>
      <c r="P103" s="10"/>
      <c r="Q103" s="497"/>
      <c r="R103" s="497"/>
      <c r="S103" s="497"/>
      <c r="T103" s="498"/>
      <c r="U103" s="497"/>
      <c r="V103" s="497"/>
      <c r="W103" s="499"/>
    </row>
    <row r="105" spans="1:23" x14ac:dyDescent="0.25">
      <c r="I105" s="504" t="s">
        <v>400</v>
      </c>
      <c r="J105" s="427"/>
      <c r="K105" s="504" t="s">
        <v>399</v>
      </c>
      <c r="L105" s="427"/>
    </row>
    <row r="106" spans="1:23" x14ac:dyDescent="0.25">
      <c r="I106" s="504" t="s">
        <v>365</v>
      </c>
      <c r="J106" s="504" t="s">
        <v>247</v>
      </c>
      <c r="K106" s="427">
        <f>((D3/1000*D4/1000*13/1000*1.5*1850)+(B9/1000*(E9/1000+D4/1000+C9/1000)*16/1000*1850)+(D9/1000*(E9/1000+D4/1000+C9/1000)*16/1000*1850)+(E9/1000*D3/1000*16/1000*1850)+(C9/1000*D3/1000*16/1000*1850)+(D3/1000*D4/1000*13/1000*1.8*1850)*E23+SUM(I16,J16,K16,L16)+SUM(Q16,R16,S16,T16,R26)+SUM(P35,P36,P37))</f>
        <v>7.1746700000000017</v>
      </c>
      <c r="L106" s="427" t="s">
        <v>132</v>
      </c>
    </row>
    <row r="107" spans="1:23" x14ac:dyDescent="0.25">
      <c r="I107" s="504" t="s">
        <v>365</v>
      </c>
      <c r="J107" s="504" t="s">
        <v>248</v>
      </c>
      <c r="K107" s="427">
        <f>((D3/1000*D4/1000*13/1000*1.5*1850)+(0.61*1/1000*2000)+(B9/1000*(E9/1000+D4/1000+C9/1000)*16/1000*1850)+(B9/1000*(E9/1000+D4/1000+C9/1000)*1/1000*2000*2)+(D9/1000*(E9/1000+D4/1000+C9/1000)*16/1000*1850)+(D9/1000*(E9/1000+D4/1000+C9/1000)*1/1000*2000)+(E9/1000*D3/1000*16/1000*1850)+(E9/1000*D3/1000*1/1000*2000*2)+(C9/1000*D3/1000*16/1000*1850)+(C9/1000*D3/1000*1/1000*2000*2)+(D3/1000*D4/1000*13/1000*1.8*1850)*E23+(0.61*1/1000*2000)*E23+SUM(I16,J16,K16,L16)+SUM(Q16,R16,S16,T16,R26)+SUM(P35,P36,P37))</f>
        <v>8.5202699999999982</v>
      </c>
      <c r="L107" s="427" t="s">
        <v>132</v>
      </c>
    </row>
    <row r="108" spans="1:23" x14ac:dyDescent="0.25">
      <c r="I108" s="504"/>
      <c r="J108" s="504"/>
      <c r="K108" s="427"/>
      <c r="L108" s="427"/>
    </row>
    <row r="109" spans="1:23" x14ac:dyDescent="0.25">
      <c r="I109" s="504" t="s">
        <v>366</v>
      </c>
      <c r="J109" s="504" t="s">
        <v>247</v>
      </c>
      <c r="K109" s="427">
        <f>((D3/1000*D4/1000*13/1000*1.5*1850)+(B9/1000*(E9/1000+D4/1000+C9/1000)*10/1000*1850)+(D9/1000*(E9/1000+D4/1000+C9/1000)*10/1000*1850)+(E9/1000*D3/1000*10/1000*1850)+(C9/1000*D3/1000*10/1000*1850)+(D3/1000*D4/1000*13/1000*1.8*1850)*E23+SUM(I16,J16,K16,L16)+SUM(Q16,R16,S16,T16,R26)+SUM(P35,P36,P37))</f>
        <v>6.7839499999999999</v>
      </c>
      <c r="L109" s="427" t="s">
        <v>398</v>
      </c>
    </row>
    <row r="110" spans="1:23" x14ac:dyDescent="0.25">
      <c r="I110" s="504" t="s">
        <v>366</v>
      </c>
      <c r="J110" s="504" t="s">
        <v>248</v>
      </c>
      <c r="K110" s="427">
        <f>((D3/1000*D4/1000*13/1000*1.5*1850)+(0.88*1/1000*2000)+(B9/1000*(E9/1000+D4/1000+C9/1000)*10/1000*1850)+(B9/1000*(E9/1000+D4/1000+C9/1000)*1/1000*2000*2)+(D9/1000*(E9/1000+D4/1000+C9/1000)*10/1000*1850)+(D9/1000*(E9/1000+D4/1000+C9/1000)*1/1000*2000)+(E9/1000*D3/1000*10/1000*1850)+(E9/1000*D3/1000*1/1000*2000*2)+(C9/1000*D3/1000*10/1000*1850)+(C9/1000*D3/1000*1/1000*2000*2)+(D3/1000*D4/1000*13/1000*1.8*1850)*E23+(0.88*1/1000*2000)*E23+SUM(I16,J16,K16,L16)+SUM(Q16,R16,S16,T16,R26)+SUM(P35,P36,P37))</f>
        <v>8.6695499999999992</v>
      </c>
      <c r="L110" s="427" t="s">
        <v>398</v>
      </c>
    </row>
  </sheetData>
  <sheetProtection algorithmName="SHA-512" hashValue="7Nhpcl0jcrt2AfNKgChEshWmLDj2uzQrDhyOLGtTcn/hkNjFDU5vgB4tlWANg2FO+h48r7hbxfZXqD68mgzDFA==" saltValue="HBjh7EpmDPXxxxwuMPJzoQ==" spinCount="100000" sheet="1" objects="1" scenarios="1"/>
  <mergeCells count="75">
    <mergeCell ref="D12:F12"/>
    <mergeCell ref="A13:C13"/>
    <mergeCell ref="A1:G1"/>
    <mergeCell ref="A14:C14"/>
    <mergeCell ref="I15:L15"/>
    <mergeCell ref="I17:L17"/>
    <mergeCell ref="I11:L11"/>
    <mergeCell ref="I9:L9"/>
    <mergeCell ref="I2:I4"/>
    <mergeCell ref="J2:J4"/>
    <mergeCell ref="K2:K4"/>
    <mergeCell ref="L2:L4"/>
    <mergeCell ref="I1:O1"/>
    <mergeCell ref="B6:D6"/>
    <mergeCell ref="A10:E10"/>
    <mergeCell ref="A11:C11"/>
    <mergeCell ref="A12:B12"/>
    <mergeCell ref="E19:F19"/>
    <mergeCell ref="I19:L19"/>
    <mergeCell ref="A23:B23"/>
    <mergeCell ref="A24:B29"/>
    <mergeCell ref="E24:F25"/>
    <mergeCell ref="D25:D26"/>
    <mergeCell ref="E28:E29"/>
    <mergeCell ref="F28:F29"/>
    <mergeCell ref="D96:E96"/>
    <mergeCell ref="D27:F27"/>
    <mergeCell ref="Q2:Q3"/>
    <mergeCell ref="R2:R3"/>
    <mergeCell ref="S2:S3"/>
    <mergeCell ref="E57:F57"/>
    <mergeCell ref="E58:F58"/>
    <mergeCell ref="I73:J73"/>
    <mergeCell ref="D30:F30"/>
    <mergeCell ref="Q31:T32"/>
    <mergeCell ref="S33:V33"/>
    <mergeCell ref="T46:U46"/>
    <mergeCell ref="V46:W46"/>
    <mergeCell ref="I26:L30"/>
    <mergeCell ref="E21:F21"/>
    <mergeCell ref="I13:L13"/>
    <mergeCell ref="M16:O18"/>
    <mergeCell ref="M10:O10"/>
    <mergeCell ref="Q9:T9"/>
    <mergeCell ref="Q11:T11"/>
    <mergeCell ref="Q13:T13"/>
    <mergeCell ref="Q15:T15"/>
    <mergeCell ref="Q17:T17"/>
    <mergeCell ref="Q24:Q25"/>
    <mergeCell ref="R24:R25"/>
    <mergeCell ref="U2:W30"/>
    <mergeCell ref="Q1:W1"/>
    <mergeCell ref="Q19:T19"/>
    <mergeCell ref="Q20:Q21"/>
    <mergeCell ref="R20:R21"/>
    <mergeCell ref="S20:S21"/>
    <mergeCell ref="T20:T21"/>
    <mergeCell ref="T2:T3"/>
    <mergeCell ref="Q93:V93"/>
    <mergeCell ref="I32:K32"/>
    <mergeCell ref="L32:N32"/>
    <mergeCell ref="K45:L45"/>
    <mergeCell ref="K55:L55"/>
    <mergeCell ref="K63:L63"/>
    <mergeCell ref="L83:N87"/>
    <mergeCell ref="D32:F32"/>
    <mergeCell ref="C48:D48"/>
    <mergeCell ref="C65:D65"/>
    <mergeCell ref="C85:D85"/>
    <mergeCell ref="Q92:V92"/>
    <mergeCell ref="Q77:R77"/>
    <mergeCell ref="U77:V77"/>
    <mergeCell ref="Q39:S48"/>
    <mergeCell ref="A58:C58"/>
    <mergeCell ref="A32:C32"/>
  </mergeCells>
  <dataValidations count="5">
    <dataValidation type="whole" errorStyle="information" allowBlank="1" showInputMessage="1" showErrorMessage="1" errorTitle="Недопустимое значение" error="Открытая полка может быть высотой от 200 до 400 мм и равна высоте фронтального фартука" sqref="R35:R37" xr:uid="{79B45C67-1E87-4023-A6E4-085A72CE2963}">
      <formula1>200</formula1>
      <formula2>400</formula2>
    </dataValidation>
    <dataValidation type="whole" errorStyle="information" allowBlank="1" showInputMessage="1" showErrorMessage="1" errorTitle="Недопустимое значение" error="Ширина открытой полки может быть от 200 до 1000 мм" sqref="S35:U37" xr:uid="{85FE8CD7-C7ED-401B-B1AF-C40655C35005}">
      <formula1>200</formula1>
      <formula2>1000</formula2>
    </dataValidation>
    <dataValidation type="whole" operator="greaterThanOrEqual" allowBlank="1" showInputMessage="1" showErrorMessage="1" errorTitle="мимнимальный отступ от чаши" error="минимальная ширина столешницы 20мм" sqref="B9:E9" xr:uid="{EA9D2D27-749C-4A2D-B562-427CF1315462}">
      <formula1>20</formula1>
    </dataValidation>
    <dataValidation type="decimal" allowBlank="1" showInputMessage="1" showErrorMessage="1" errorTitle="Недопустимое значение" error="Превышена максимальная высота 500 мм" sqref="Q12:T12 R22" xr:uid="{4B34D73E-EAF0-4EC5-BE01-AC716189ACE2}">
      <formula1>0</formula1>
      <formula2>500</formula2>
    </dataValidation>
    <dataValidation type="decimal" allowBlank="1" showInputMessage="1" showErrorMessage="1" sqref="Q14:S14 S22:T22" xr:uid="{3F7D0729-7653-4447-BBBE-D26FC291E815}">
      <formula1>0</formula1>
      <formula2>400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rstPageNumber="2147483648" fitToHeight="0" orientation="landscape" r:id="rId1"/>
  <rowBreaks count="2" manualBreakCount="2">
    <brk id="30" max="16383" man="1"/>
    <brk id="76" max="16383" man="1"/>
  </rowBreaks>
  <colBreaks count="1" manualBreakCount="1">
    <brk id="7" max="1048575" man="1"/>
  </colBreaks>
  <ignoredErrors>
    <ignoredError sqref="C19:C20" formula="1"/>
    <ignoredError sqref="V35:W37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EA6CCD51-4EC7-49D8-890D-0C3E1902DCB8}">
          <x14:formula1>
            <xm:f>Списки!$E$20:$E$22</xm:f>
          </x14:formula1>
          <xm:sqref>F28:F29</xm:sqref>
        </x14:dataValidation>
        <x14:dataValidation type="list" allowBlank="1" showInputMessage="1" showErrorMessage="1" xr:uid="{5466D474-FB6A-4463-8CF6-F8DA250EC066}">
          <x14:formula1>
            <xm:f>Списки!$B$41:$B$50</xm:f>
          </x14:formula1>
          <xm:sqref>A9</xm:sqref>
        </x14:dataValidation>
        <x14:dataValidation type="list" allowBlank="1" showInputMessage="1" showErrorMessage="1" xr:uid="{7051C650-5C61-4A29-84D4-C890AA532B9C}">
          <x14:formula1>
            <xm:f>Списки!$B$38:$B$39</xm:f>
          </x14:formula1>
          <xm:sqref>F9:H9</xm:sqref>
        </x14:dataValidation>
        <x14:dataValidation type="list" showInputMessage="1" showErrorMessage="1" xr:uid="{5284163A-0C7D-4840-8C28-232DC97E3D38}">
          <x14:formula1>
            <xm:f>Списки!$B$52:$B$53</xm:f>
          </x14:formula1>
          <xm:sqref>F26</xm:sqref>
        </x14:dataValidation>
        <x14:dataValidation type="list" allowBlank="1" showInputMessage="1" showErrorMessage="1" xr:uid="{14CB6D6D-DE23-45CD-A896-7DA95E493743}">
          <x14:formula1>
            <xm:f>Списки!$B$68:$B$69</xm:f>
          </x14:formula1>
          <xm:sqref>C23</xm:sqref>
        </x14:dataValidation>
        <x14:dataValidation type="list" allowBlank="1" showInputMessage="1" showErrorMessage="1" xr:uid="{C29E64DB-151E-4FE0-890B-95617961CEC7}">
          <x14:formula1>
            <xm:f>Списки!$D$59:$D$61</xm:f>
          </x14:formula1>
          <xm:sqref>K23:L23</xm:sqref>
        </x14:dataValidation>
        <x14:dataValidation type="list" allowBlank="1" showInputMessage="1" showErrorMessage="1" xr:uid="{AA86BDCE-7E99-4053-BBC8-FE53BC66D0EF}">
          <x14:formula1>
            <xm:f>Списки!$C$64:$C$65</xm:f>
          </x14:formula1>
          <xm:sqref>K21:L21</xm:sqref>
        </x14:dataValidation>
        <x14:dataValidation type="list" allowBlank="1" showInputMessage="1" showErrorMessage="1" xr:uid="{9CA32C23-FBE9-4EF9-ACCE-003FEE82AB8B}">
          <x14:formula1>
            <xm:f>Списки!$B$64:$B$66</xm:f>
          </x14:formula1>
          <xm:sqref>I21</xm:sqref>
        </x14:dataValidation>
        <x14:dataValidation type="list" allowBlank="1" showInputMessage="1" showErrorMessage="1" xr:uid="{349F3EC2-3E15-4CBC-8726-CCC16A87C290}">
          <x14:formula1>
            <xm:f>Списки!$B$59:$B$62</xm:f>
          </x14:formula1>
          <xm:sqref>I23 I25</xm:sqref>
        </x14:dataValidation>
        <x14:dataValidation type="list" allowBlank="1" showInputMessage="1" showErrorMessage="1" xr:uid="{30BB002A-A51F-486A-B97B-B616E8F7EF3B}">
          <x14:formula1>
            <xm:f>Списки!$E$64:$E$66</xm:f>
          </x14:formula1>
          <xm:sqref>E23</xm:sqref>
        </x14:dataValidation>
        <x14:dataValidation type="list" allowBlank="1" showInputMessage="1" showErrorMessage="1" xr:uid="{86BF834A-1502-40A4-BFC0-5043CA01FDBB}">
          <x14:formula1>
            <xm:f>Списки!$A$72:$A$73</xm:f>
          </x14:formula1>
          <xm:sqref>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2F285-2867-4729-A794-2F8BF88048A8}">
  <sheetPr>
    <tabColor theme="4"/>
  </sheetPr>
  <dimension ref="A1:AJ207"/>
  <sheetViews>
    <sheetView zoomScale="98" zoomScaleNormal="98" workbookViewId="0">
      <selection activeCell="I53" sqref="I53"/>
    </sheetView>
  </sheetViews>
  <sheetFormatPr defaultRowHeight="12" x14ac:dyDescent="0.2"/>
  <cols>
    <col min="1" max="1" width="9.140625" style="351"/>
    <col min="2" max="2" width="29.85546875" style="351" customWidth="1"/>
    <col min="3" max="3" width="11.7109375" style="351" customWidth="1"/>
    <col min="4" max="4" width="9.140625" style="351" customWidth="1"/>
    <col min="5" max="5" width="8.42578125" style="351" customWidth="1"/>
    <col min="6" max="6" width="14.140625" style="351" customWidth="1"/>
    <col min="7" max="7" width="8.7109375" style="351" customWidth="1"/>
    <col min="8" max="8" width="7.85546875" style="351" customWidth="1"/>
    <col min="9" max="9" width="13.42578125" style="351" customWidth="1"/>
    <col min="10" max="10" width="9.5703125" style="351" customWidth="1"/>
    <col min="11" max="11" width="11.28515625" style="351" customWidth="1"/>
    <col min="12" max="12" width="13.28515625" style="351" customWidth="1"/>
    <col min="13" max="14" width="9.85546875" style="351" customWidth="1"/>
    <col min="15" max="15" width="12.5703125" style="351" customWidth="1"/>
    <col min="16" max="35" width="9.85546875" style="351" customWidth="1"/>
    <col min="36" max="16384" width="9.140625" style="351"/>
  </cols>
  <sheetData>
    <row r="1" spans="1:36" s="364" customFormat="1" x14ac:dyDescent="0.2">
      <c r="B1" s="377">
        <v>1</v>
      </c>
      <c r="C1" s="377">
        <v>2</v>
      </c>
      <c r="D1" s="377">
        <v>3</v>
      </c>
      <c r="E1" s="377">
        <v>4</v>
      </c>
      <c r="F1" s="377">
        <v>5</v>
      </c>
      <c r="G1" s="377">
        <v>6</v>
      </c>
      <c r="H1" s="377">
        <v>7</v>
      </c>
      <c r="I1" s="377">
        <v>8</v>
      </c>
      <c r="J1" s="377">
        <v>9</v>
      </c>
      <c r="K1" s="377">
        <v>10</v>
      </c>
      <c r="L1" s="377">
        <v>11</v>
      </c>
      <c r="M1" s="377">
        <v>12</v>
      </c>
      <c r="N1" s="377">
        <v>13</v>
      </c>
      <c r="O1" s="377">
        <v>14</v>
      </c>
      <c r="P1" s="377">
        <v>15</v>
      </c>
      <c r="Q1" s="377">
        <v>16</v>
      </c>
      <c r="R1" s="377">
        <v>17</v>
      </c>
      <c r="S1" s="377">
        <v>18</v>
      </c>
      <c r="T1" s="377">
        <v>19</v>
      </c>
      <c r="U1" s="377">
        <v>20</v>
      </c>
      <c r="V1" s="377">
        <v>21</v>
      </c>
      <c r="W1" s="377">
        <v>22</v>
      </c>
      <c r="X1" s="377">
        <v>23</v>
      </c>
      <c r="Y1" s="377">
        <v>24</v>
      </c>
      <c r="AJ1" s="377"/>
    </row>
    <row r="2" spans="1:36" x14ac:dyDescent="0.2">
      <c r="A2" s="371"/>
      <c r="B2" s="352"/>
      <c r="C2" s="378" t="s">
        <v>239</v>
      </c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78" t="s">
        <v>251</v>
      </c>
      <c r="P2" s="352"/>
      <c r="Q2" s="352"/>
      <c r="R2" s="352"/>
      <c r="S2" s="352"/>
      <c r="T2" s="352"/>
      <c r="U2" s="352"/>
      <c r="V2" s="352"/>
      <c r="W2" s="352"/>
      <c r="X2" s="352"/>
      <c r="Y2" s="352"/>
      <c r="AJ2" s="352"/>
    </row>
    <row r="3" spans="1:36" ht="75.75" customHeight="1" x14ac:dyDescent="0.2">
      <c r="B3" s="376" t="s">
        <v>313</v>
      </c>
      <c r="C3" s="356" t="s">
        <v>18</v>
      </c>
      <c r="D3" s="353" t="s">
        <v>156</v>
      </c>
      <c r="E3" s="353" t="s">
        <v>155</v>
      </c>
      <c r="F3" s="354" t="s">
        <v>159</v>
      </c>
      <c r="G3" s="354" t="s">
        <v>160</v>
      </c>
      <c r="H3" s="355" t="s">
        <v>158</v>
      </c>
      <c r="I3" s="357" t="s">
        <v>115</v>
      </c>
      <c r="J3" s="358" t="s">
        <v>250</v>
      </c>
      <c r="K3" s="359" t="s">
        <v>189</v>
      </c>
      <c r="L3" s="357" t="s">
        <v>113</v>
      </c>
      <c r="M3" s="357" t="s">
        <v>114</v>
      </c>
      <c r="N3" s="352"/>
      <c r="O3" s="356" t="s">
        <v>18</v>
      </c>
      <c r="P3" s="353" t="s">
        <v>156</v>
      </c>
      <c r="Q3" s="353" t="s">
        <v>155</v>
      </c>
      <c r="R3" s="354" t="s">
        <v>159</v>
      </c>
      <c r="S3" s="354" t="s">
        <v>160</v>
      </c>
      <c r="T3" s="355" t="s">
        <v>158</v>
      </c>
      <c r="U3" s="357" t="s">
        <v>115</v>
      </c>
      <c r="V3" s="358" t="s">
        <v>250</v>
      </c>
      <c r="W3" s="359" t="s">
        <v>189</v>
      </c>
      <c r="X3" s="357" t="s">
        <v>113</v>
      </c>
      <c r="Y3" s="357" t="s">
        <v>114</v>
      </c>
      <c r="AJ3" s="352"/>
    </row>
    <row r="4" spans="1:36" x14ac:dyDescent="0.2">
      <c r="B4" s="366" t="s">
        <v>20</v>
      </c>
      <c r="C4" s="360">
        <v>27700</v>
      </c>
      <c r="D4" s="351">
        <v>4.5</v>
      </c>
      <c r="E4" s="361">
        <f t="shared" ref="E4:E13" si="0">F4*G4*15*1850/1000000000</f>
        <v>3.798975</v>
      </c>
      <c r="F4" s="351">
        <v>370</v>
      </c>
      <c r="G4" s="351">
        <v>370</v>
      </c>
      <c r="H4" s="362">
        <f t="shared" ref="H4:H12" si="1">D4-E4</f>
        <v>0.70102500000000001</v>
      </c>
      <c r="I4" s="351">
        <f t="shared" ref="I4:I13" si="2">J4-C4</f>
        <v>13900</v>
      </c>
      <c r="J4" s="360">
        <v>41600</v>
      </c>
      <c r="N4" s="366" t="s">
        <v>20</v>
      </c>
      <c r="O4" s="379" t="s">
        <v>253</v>
      </c>
      <c r="P4" s="381">
        <v>0</v>
      </c>
      <c r="Q4" s="381">
        <f t="shared" ref="Q4:Q13" si="3">R4*S4*15*1985/1000000000</f>
        <v>0</v>
      </c>
      <c r="R4" s="351">
        <v>0</v>
      </c>
      <c r="S4" s="351">
        <v>0</v>
      </c>
      <c r="T4" s="380">
        <f t="shared" ref="T4:T13" si="4">P4-Q4</f>
        <v>0</v>
      </c>
      <c r="U4" s="366">
        <v>0</v>
      </c>
      <c r="V4" s="379">
        <v>0</v>
      </c>
      <c r="W4" s="366"/>
      <c r="X4" s="366"/>
      <c r="Y4" s="366"/>
    </row>
    <row r="5" spans="1:36" x14ac:dyDescent="0.2">
      <c r="B5" s="366" t="s">
        <v>93</v>
      </c>
      <c r="C5" s="360">
        <v>31500</v>
      </c>
      <c r="D5" s="351">
        <v>4.9000000000000004</v>
      </c>
      <c r="E5" s="361">
        <f t="shared" si="0"/>
        <v>3.798975</v>
      </c>
      <c r="F5" s="351">
        <v>370</v>
      </c>
      <c r="G5" s="351">
        <v>370</v>
      </c>
      <c r="H5" s="362">
        <f t="shared" si="1"/>
        <v>1.1010250000000004</v>
      </c>
      <c r="I5" s="351">
        <f t="shared" si="2"/>
        <v>15800</v>
      </c>
      <c r="J5" s="360">
        <v>47300</v>
      </c>
      <c r="N5" s="366" t="s">
        <v>93</v>
      </c>
      <c r="O5" s="379" t="s">
        <v>253</v>
      </c>
      <c r="P5" s="381">
        <v>0</v>
      </c>
      <c r="Q5" s="381">
        <f t="shared" si="3"/>
        <v>0</v>
      </c>
      <c r="R5" s="351">
        <v>0</v>
      </c>
      <c r="S5" s="351">
        <v>0</v>
      </c>
      <c r="T5" s="380">
        <f t="shared" si="4"/>
        <v>0</v>
      </c>
      <c r="U5" s="366">
        <v>0</v>
      </c>
      <c r="V5" s="379">
        <v>0</v>
      </c>
      <c r="W5" s="366"/>
      <c r="X5" s="366"/>
      <c r="Y5" s="366"/>
    </row>
    <row r="6" spans="1:36" x14ac:dyDescent="0.2">
      <c r="B6" s="366" t="s">
        <v>94</v>
      </c>
      <c r="C6" s="360">
        <v>35900</v>
      </c>
      <c r="D6" s="351">
        <v>6</v>
      </c>
      <c r="E6" s="361">
        <f t="shared" si="0"/>
        <v>4.8562500000000002</v>
      </c>
      <c r="F6" s="351">
        <v>500</v>
      </c>
      <c r="G6" s="351">
        <v>350</v>
      </c>
      <c r="H6" s="362">
        <f t="shared" si="1"/>
        <v>1.1437499999999998</v>
      </c>
      <c r="I6" s="351">
        <f t="shared" si="2"/>
        <v>18000</v>
      </c>
      <c r="J6" s="360">
        <v>53900</v>
      </c>
      <c r="N6" s="366" t="s">
        <v>94</v>
      </c>
      <c r="O6" s="379">
        <v>32300</v>
      </c>
      <c r="P6" s="381">
        <v>6.5</v>
      </c>
      <c r="Q6" s="381">
        <f>R6*S6*15*1850/1000000000</f>
        <v>4.8562500000000002</v>
      </c>
      <c r="R6" s="351">
        <v>500</v>
      </c>
      <c r="S6" s="351">
        <v>350</v>
      </c>
      <c r="T6" s="380">
        <f t="shared" si="4"/>
        <v>1.6437499999999998</v>
      </c>
      <c r="U6" s="366">
        <f t="shared" ref="U6:U11" si="5">V6-O6</f>
        <v>9700</v>
      </c>
      <c r="V6" s="379">
        <v>42000</v>
      </c>
      <c r="W6" s="366"/>
      <c r="X6" s="366"/>
      <c r="Y6" s="366"/>
    </row>
    <row r="7" spans="1:36" x14ac:dyDescent="0.2">
      <c r="B7" s="366" t="s">
        <v>95</v>
      </c>
      <c r="C7" s="360">
        <v>31500</v>
      </c>
      <c r="D7" s="351">
        <v>6</v>
      </c>
      <c r="E7" s="361">
        <f t="shared" si="0"/>
        <v>3.798975</v>
      </c>
      <c r="F7" s="351">
        <v>370</v>
      </c>
      <c r="G7" s="351">
        <v>370</v>
      </c>
      <c r="H7" s="362">
        <f t="shared" si="1"/>
        <v>2.201025</v>
      </c>
      <c r="I7" s="351">
        <f t="shared" si="2"/>
        <v>15800</v>
      </c>
      <c r="J7" s="360">
        <v>47300</v>
      </c>
      <c r="N7" s="366" t="s">
        <v>95</v>
      </c>
      <c r="O7" s="379" t="s">
        <v>253</v>
      </c>
      <c r="P7" s="381">
        <v>0</v>
      </c>
      <c r="Q7" s="381">
        <f t="shared" si="3"/>
        <v>0</v>
      </c>
      <c r="R7" s="351">
        <v>0</v>
      </c>
      <c r="S7" s="351">
        <v>0</v>
      </c>
      <c r="T7" s="380">
        <f t="shared" si="4"/>
        <v>0</v>
      </c>
      <c r="U7" s="366">
        <v>0</v>
      </c>
      <c r="V7" s="379">
        <v>0</v>
      </c>
      <c r="W7" s="366"/>
      <c r="X7" s="366"/>
      <c r="Y7" s="366"/>
    </row>
    <row r="8" spans="1:36" x14ac:dyDescent="0.2">
      <c r="B8" s="366" t="s">
        <v>96</v>
      </c>
      <c r="C8" s="360">
        <v>31500</v>
      </c>
      <c r="D8" s="351">
        <v>4</v>
      </c>
      <c r="E8" s="361">
        <f t="shared" si="0"/>
        <v>3.798975</v>
      </c>
      <c r="F8" s="351">
        <v>370</v>
      </c>
      <c r="G8" s="351">
        <v>370</v>
      </c>
      <c r="H8" s="362">
        <f t="shared" si="1"/>
        <v>0.20102500000000001</v>
      </c>
      <c r="I8" s="351">
        <f t="shared" si="2"/>
        <v>15800</v>
      </c>
      <c r="J8" s="360">
        <v>47300</v>
      </c>
      <c r="N8" s="366" t="s">
        <v>96</v>
      </c>
      <c r="O8" s="379" t="s">
        <v>253</v>
      </c>
      <c r="P8" s="381">
        <v>0</v>
      </c>
      <c r="Q8" s="381">
        <f t="shared" si="3"/>
        <v>0</v>
      </c>
      <c r="R8" s="351">
        <v>0</v>
      </c>
      <c r="S8" s="351">
        <v>0</v>
      </c>
      <c r="T8" s="380">
        <f t="shared" si="4"/>
        <v>0</v>
      </c>
      <c r="U8" s="366">
        <v>0</v>
      </c>
      <c r="V8" s="379">
        <v>0</v>
      </c>
      <c r="W8" s="366"/>
      <c r="X8" s="366"/>
      <c r="Y8" s="366"/>
    </row>
    <row r="9" spans="1:36" x14ac:dyDescent="0.2">
      <c r="B9" s="366" t="s">
        <v>97</v>
      </c>
      <c r="C9" s="360">
        <v>35900</v>
      </c>
      <c r="D9" s="351">
        <v>7</v>
      </c>
      <c r="E9" s="361">
        <f t="shared" si="0"/>
        <v>4.5329625</v>
      </c>
      <c r="F9" s="351">
        <v>495</v>
      </c>
      <c r="G9" s="351">
        <v>330</v>
      </c>
      <c r="H9" s="362">
        <f t="shared" si="1"/>
        <v>2.4670375</v>
      </c>
      <c r="I9" s="351">
        <f t="shared" si="2"/>
        <v>18000</v>
      </c>
      <c r="J9" s="360">
        <v>53900</v>
      </c>
      <c r="N9" s="366" t="s">
        <v>97</v>
      </c>
      <c r="O9" s="379" t="s">
        <v>253</v>
      </c>
      <c r="P9" s="381">
        <v>0</v>
      </c>
      <c r="Q9" s="381">
        <f t="shared" si="3"/>
        <v>0</v>
      </c>
      <c r="R9" s="351">
        <v>0</v>
      </c>
      <c r="S9" s="351">
        <v>0</v>
      </c>
      <c r="T9" s="380">
        <f t="shared" si="4"/>
        <v>0</v>
      </c>
      <c r="U9" s="366">
        <v>0</v>
      </c>
      <c r="V9" s="379">
        <v>0</v>
      </c>
      <c r="W9" s="366"/>
      <c r="X9" s="366"/>
      <c r="Y9" s="366"/>
    </row>
    <row r="10" spans="1:36" x14ac:dyDescent="0.2">
      <c r="B10" s="366" t="s">
        <v>98</v>
      </c>
      <c r="C10" s="360">
        <v>41200</v>
      </c>
      <c r="D10" s="351">
        <v>9</v>
      </c>
      <c r="E10" s="361">
        <f t="shared" si="0"/>
        <v>7.25315625</v>
      </c>
      <c r="F10" s="351">
        <v>697</v>
      </c>
      <c r="G10" s="351">
        <v>375</v>
      </c>
      <c r="H10" s="362">
        <f t="shared" si="1"/>
        <v>1.74684375</v>
      </c>
      <c r="I10" s="351">
        <f t="shared" si="2"/>
        <v>20600</v>
      </c>
      <c r="J10" s="360">
        <v>61800</v>
      </c>
      <c r="N10" s="366" t="s">
        <v>98</v>
      </c>
      <c r="O10" s="379">
        <v>37100</v>
      </c>
      <c r="P10" s="381">
        <v>9.6999999999999993</v>
      </c>
      <c r="Q10" s="381">
        <f>R10*S10*15*1850/1000000000</f>
        <v>7.25315625</v>
      </c>
      <c r="R10" s="351">
        <v>697</v>
      </c>
      <c r="S10" s="351">
        <v>375</v>
      </c>
      <c r="T10" s="380">
        <f t="shared" si="4"/>
        <v>2.4468437499999993</v>
      </c>
      <c r="U10" s="366">
        <f t="shared" si="5"/>
        <v>11200</v>
      </c>
      <c r="V10" s="379">
        <v>48300</v>
      </c>
      <c r="W10" s="366"/>
      <c r="X10" s="366"/>
      <c r="Y10" s="366"/>
    </row>
    <row r="11" spans="1:36" x14ac:dyDescent="0.2">
      <c r="B11" s="366" t="s">
        <v>99</v>
      </c>
      <c r="C11" s="360">
        <v>35900</v>
      </c>
      <c r="D11" s="351">
        <v>5</v>
      </c>
      <c r="E11" s="361">
        <f t="shared" si="0"/>
        <v>4.8562500000000002</v>
      </c>
      <c r="F11" s="351">
        <v>500</v>
      </c>
      <c r="G11" s="351">
        <v>350</v>
      </c>
      <c r="H11" s="362">
        <f t="shared" si="1"/>
        <v>0.14374999999999982</v>
      </c>
      <c r="I11" s="351">
        <f t="shared" si="2"/>
        <v>18000</v>
      </c>
      <c r="J11" s="360">
        <v>53900</v>
      </c>
      <c r="N11" s="366" t="s">
        <v>99</v>
      </c>
      <c r="O11" s="379">
        <v>32300</v>
      </c>
      <c r="P11" s="381">
        <v>5.4</v>
      </c>
      <c r="Q11" s="381">
        <f t="shared" ref="Q11:Q12" si="6">R11*S11*15*1850/1000000000</f>
        <v>4.8562500000000002</v>
      </c>
      <c r="R11" s="351">
        <v>500</v>
      </c>
      <c r="S11" s="351">
        <v>350</v>
      </c>
      <c r="T11" s="380">
        <f t="shared" si="4"/>
        <v>0.54375000000000018</v>
      </c>
      <c r="U11" s="366">
        <f t="shared" si="5"/>
        <v>9700</v>
      </c>
      <c r="V11" s="379">
        <v>42000</v>
      </c>
      <c r="W11" s="366"/>
      <c r="X11" s="366"/>
      <c r="Y11" s="366"/>
    </row>
    <row r="12" spans="1:36" x14ac:dyDescent="0.2">
      <c r="B12" s="366" t="s">
        <v>100</v>
      </c>
      <c r="C12" s="360">
        <v>36000</v>
      </c>
      <c r="D12" s="351">
        <v>13.5</v>
      </c>
      <c r="E12" s="361">
        <f t="shared" si="0"/>
        <v>4.46428125</v>
      </c>
      <c r="F12" s="351">
        <v>495</v>
      </c>
      <c r="G12" s="351">
        <v>325</v>
      </c>
      <c r="H12" s="362">
        <f t="shared" si="1"/>
        <v>9.0357187500000009</v>
      </c>
      <c r="I12" s="351">
        <f t="shared" si="2"/>
        <v>18000</v>
      </c>
      <c r="J12" s="360">
        <v>54000</v>
      </c>
      <c r="N12" s="366" t="s">
        <v>100</v>
      </c>
      <c r="O12" s="379" t="s">
        <v>253</v>
      </c>
      <c r="P12" s="381">
        <v>0</v>
      </c>
      <c r="Q12" s="381">
        <f t="shared" si="6"/>
        <v>0</v>
      </c>
      <c r="R12" s="351">
        <v>0</v>
      </c>
      <c r="S12" s="351">
        <v>0</v>
      </c>
      <c r="T12" s="380">
        <f t="shared" si="4"/>
        <v>0</v>
      </c>
      <c r="U12" s="366">
        <v>0</v>
      </c>
      <c r="V12" s="379">
        <v>34800</v>
      </c>
      <c r="W12" s="366"/>
      <c r="X12" s="366"/>
      <c r="Y12" s="366"/>
    </row>
    <row r="13" spans="1:36" x14ac:dyDescent="0.2">
      <c r="B13" s="366" t="s">
        <v>101</v>
      </c>
      <c r="C13" s="360">
        <v>41200</v>
      </c>
      <c r="D13" s="351">
        <v>8</v>
      </c>
      <c r="E13" s="361">
        <f t="shared" si="0"/>
        <v>5.3418749999999999</v>
      </c>
      <c r="F13" s="351">
        <v>550</v>
      </c>
      <c r="G13" s="351">
        <v>350</v>
      </c>
      <c r="H13" s="362">
        <f t="shared" ref="H13:H14" si="7">D13-E13</f>
        <v>2.6581250000000001</v>
      </c>
      <c r="I13" s="351">
        <f t="shared" si="2"/>
        <v>20600</v>
      </c>
      <c r="J13" s="360">
        <v>61800</v>
      </c>
      <c r="N13" s="366" t="s">
        <v>101</v>
      </c>
      <c r="O13" s="379" t="s">
        <v>253</v>
      </c>
      <c r="P13" s="381">
        <v>0</v>
      </c>
      <c r="Q13" s="381">
        <f t="shared" si="3"/>
        <v>0</v>
      </c>
      <c r="R13" s="351">
        <v>0</v>
      </c>
      <c r="S13" s="351">
        <v>0</v>
      </c>
      <c r="T13" s="380">
        <f t="shared" si="4"/>
        <v>0</v>
      </c>
      <c r="U13" s="366">
        <v>0</v>
      </c>
      <c r="V13" s="379">
        <v>0</v>
      </c>
      <c r="W13" s="366"/>
      <c r="X13" s="366"/>
      <c r="Y13" s="366"/>
    </row>
    <row r="14" spans="1:36" x14ac:dyDescent="0.2">
      <c r="B14" s="366" t="s">
        <v>24</v>
      </c>
      <c r="C14" s="351">
        <v>0</v>
      </c>
      <c r="D14" s="351">
        <v>0</v>
      </c>
      <c r="E14" s="351">
        <v>0</v>
      </c>
      <c r="H14" s="362">
        <f t="shared" si="7"/>
        <v>0</v>
      </c>
      <c r="N14" s="366" t="s">
        <v>24</v>
      </c>
      <c r="O14" s="366">
        <v>0</v>
      </c>
      <c r="P14" s="382">
        <v>0</v>
      </c>
      <c r="Q14" s="382">
        <v>0</v>
      </c>
      <c r="R14" s="366"/>
      <c r="S14" s="366"/>
      <c r="T14" s="380">
        <f>P14-Q14</f>
        <v>0</v>
      </c>
      <c r="U14" s="366"/>
      <c r="V14" s="366"/>
      <c r="W14" s="366"/>
      <c r="X14" s="366"/>
      <c r="Y14" s="366"/>
    </row>
    <row r="17" spans="2:5" x14ac:dyDescent="0.2">
      <c r="B17" s="363" t="s">
        <v>314</v>
      </c>
      <c r="C17" s="364">
        <v>3700</v>
      </c>
      <c r="E17" s="351" t="s">
        <v>0</v>
      </c>
    </row>
    <row r="18" spans="2:5" x14ac:dyDescent="0.2">
      <c r="B18" s="363" t="s">
        <v>315</v>
      </c>
      <c r="C18" s="364">
        <v>5600</v>
      </c>
      <c r="E18" s="351" t="s">
        <v>2</v>
      </c>
    </row>
    <row r="19" spans="2:5" x14ac:dyDescent="0.2">
      <c r="B19" s="363" t="s">
        <v>316</v>
      </c>
      <c r="C19" s="364">
        <v>10100</v>
      </c>
    </row>
    <row r="20" spans="2:5" x14ac:dyDescent="0.2">
      <c r="B20" s="363" t="s">
        <v>317</v>
      </c>
      <c r="C20" s="364">
        <v>12100</v>
      </c>
      <c r="E20" s="351" t="s">
        <v>3</v>
      </c>
    </row>
    <row r="21" spans="2:5" x14ac:dyDescent="0.2">
      <c r="B21" s="363" t="s">
        <v>318</v>
      </c>
      <c r="C21" s="364">
        <v>10100</v>
      </c>
      <c r="E21" s="351" t="s">
        <v>4</v>
      </c>
    </row>
    <row r="22" spans="2:5" x14ac:dyDescent="0.2">
      <c r="B22" s="363" t="s">
        <v>319</v>
      </c>
      <c r="C22" s="364">
        <v>12100</v>
      </c>
      <c r="E22" s="351" t="s">
        <v>5</v>
      </c>
    </row>
    <row r="23" spans="2:5" x14ac:dyDescent="0.2">
      <c r="B23" s="363"/>
    </row>
    <row r="25" spans="2:5" x14ac:dyDescent="0.2">
      <c r="B25" s="351" t="s">
        <v>111</v>
      </c>
      <c r="C25" s="351">
        <v>0</v>
      </c>
    </row>
    <row r="26" spans="2:5" x14ac:dyDescent="0.2">
      <c r="B26" s="351" t="s">
        <v>112</v>
      </c>
      <c r="C26" s="364">
        <v>9500</v>
      </c>
    </row>
    <row r="28" spans="2:5" x14ac:dyDescent="0.2">
      <c r="B28" s="351" t="s">
        <v>113</v>
      </c>
      <c r="C28" s="364">
        <v>6700</v>
      </c>
      <c r="D28" s="351" t="s">
        <v>260</v>
      </c>
    </row>
    <row r="29" spans="2:5" x14ac:dyDescent="0.2">
      <c r="B29" s="351" t="s">
        <v>114</v>
      </c>
      <c r="C29" s="364">
        <v>9900</v>
      </c>
      <c r="D29" s="351" t="s">
        <v>260</v>
      </c>
    </row>
    <row r="30" spans="2:5" x14ac:dyDescent="0.2">
      <c r="B30" s="351" t="s">
        <v>24</v>
      </c>
      <c r="C30" s="351">
        <v>0</v>
      </c>
    </row>
    <row r="32" spans="2:5" x14ac:dyDescent="0.2">
      <c r="B32" s="351" t="s">
        <v>18</v>
      </c>
    </row>
    <row r="33" spans="2:4" x14ac:dyDescent="0.2">
      <c r="B33" s="351" t="s">
        <v>115</v>
      </c>
      <c r="C33" s="351" t="e">
        <f>#REF!*1.5-#REF!</f>
        <v>#REF!</v>
      </c>
    </row>
    <row r="35" spans="2:4" x14ac:dyDescent="0.2">
      <c r="B35" s="351" t="s">
        <v>18</v>
      </c>
    </row>
    <row r="36" spans="2:4" x14ac:dyDescent="0.2">
      <c r="B36" s="351" t="s">
        <v>115</v>
      </c>
      <c r="C36" s="351" t="e">
        <f>#REF!*1.5-#REF!</f>
        <v>#REF!</v>
      </c>
    </row>
    <row r="38" spans="2:4" x14ac:dyDescent="0.2">
      <c r="B38" s="351" t="s">
        <v>18</v>
      </c>
    </row>
    <row r="39" spans="2:4" x14ac:dyDescent="0.2">
      <c r="B39" s="351" t="s">
        <v>115</v>
      </c>
      <c r="C39" s="351" t="e">
        <f>#REF!*1.5-#REF!</f>
        <v>#REF!</v>
      </c>
    </row>
    <row r="41" spans="2:4" x14ac:dyDescent="0.2">
      <c r="B41" s="351" t="s">
        <v>132</v>
      </c>
      <c r="C41" s="351">
        <v>500</v>
      </c>
      <c r="D41" s="351">
        <v>340</v>
      </c>
    </row>
    <row r="42" spans="2:4" x14ac:dyDescent="0.2">
      <c r="B42" s="365" t="s">
        <v>8</v>
      </c>
      <c r="C42" s="351">
        <v>520</v>
      </c>
      <c r="D42" s="351">
        <v>360</v>
      </c>
    </row>
    <row r="43" spans="2:4" x14ac:dyDescent="0.2">
      <c r="B43" s="365" t="s">
        <v>10</v>
      </c>
      <c r="C43" s="351">
        <v>520</v>
      </c>
      <c r="D43" s="351">
        <v>360</v>
      </c>
    </row>
    <row r="44" spans="2:4" x14ac:dyDescent="0.2">
      <c r="B44" s="365" t="s">
        <v>9</v>
      </c>
      <c r="C44" s="351">
        <v>520</v>
      </c>
      <c r="D44" s="351">
        <v>360</v>
      </c>
    </row>
    <row r="45" spans="2:4" x14ac:dyDescent="0.2">
      <c r="B45" s="365" t="s">
        <v>11</v>
      </c>
      <c r="C45" s="351">
        <v>520</v>
      </c>
      <c r="D45" s="351">
        <v>360</v>
      </c>
    </row>
    <row r="46" spans="2:4" x14ac:dyDescent="0.2">
      <c r="B46" s="365" t="s">
        <v>13</v>
      </c>
      <c r="C46" s="351">
        <v>520</v>
      </c>
      <c r="D46" s="351">
        <v>360</v>
      </c>
    </row>
    <row r="47" spans="2:4" x14ac:dyDescent="0.2">
      <c r="B47" s="365" t="s">
        <v>12</v>
      </c>
      <c r="C47" s="351">
        <v>520</v>
      </c>
      <c r="D47" s="351">
        <v>360</v>
      </c>
    </row>
    <row r="48" spans="2:4" x14ac:dyDescent="0.2">
      <c r="B48" s="351" t="s">
        <v>151</v>
      </c>
      <c r="C48" s="351">
        <v>680</v>
      </c>
      <c r="D48" s="351">
        <v>340</v>
      </c>
    </row>
    <row r="49" spans="2:5" x14ac:dyDescent="0.2">
      <c r="B49" s="365" t="s">
        <v>152</v>
      </c>
      <c r="C49" s="351">
        <v>720</v>
      </c>
      <c r="D49" s="351">
        <v>360</v>
      </c>
    </row>
    <row r="50" spans="2:5" x14ac:dyDescent="0.2">
      <c r="B50" s="365" t="s">
        <v>153</v>
      </c>
      <c r="C50" s="351">
        <v>720</v>
      </c>
      <c r="D50" s="351">
        <v>360</v>
      </c>
    </row>
    <row r="52" spans="2:5" x14ac:dyDescent="0.2">
      <c r="B52" s="351" t="s">
        <v>148</v>
      </c>
    </row>
    <row r="53" spans="2:5" x14ac:dyDescent="0.2">
      <c r="B53" s="351" t="s">
        <v>24</v>
      </c>
    </row>
    <row r="55" spans="2:5" x14ac:dyDescent="0.2">
      <c r="B55" s="351" t="s">
        <v>151</v>
      </c>
      <c r="C55" s="351">
        <v>680</v>
      </c>
      <c r="D55" s="351">
        <v>340</v>
      </c>
    </row>
    <row r="56" spans="2:5" x14ac:dyDescent="0.2">
      <c r="B56" s="365" t="s">
        <v>152</v>
      </c>
      <c r="C56" s="351">
        <v>720</v>
      </c>
      <c r="D56" s="351">
        <v>360</v>
      </c>
    </row>
    <row r="57" spans="2:5" x14ac:dyDescent="0.2">
      <c r="B57" s="365" t="s">
        <v>153</v>
      </c>
      <c r="C57" s="351">
        <v>720</v>
      </c>
      <c r="D57" s="351">
        <v>360</v>
      </c>
    </row>
    <row r="59" spans="2:5" x14ac:dyDescent="0.2">
      <c r="B59" s="351" t="s">
        <v>161</v>
      </c>
      <c r="D59" s="351" t="s">
        <v>161</v>
      </c>
    </row>
    <row r="60" spans="2:5" x14ac:dyDescent="0.2">
      <c r="B60" s="351" t="s">
        <v>162</v>
      </c>
      <c r="D60" s="351" t="s">
        <v>162</v>
      </c>
    </row>
    <row r="61" spans="2:5" x14ac:dyDescent="0.2">
      <c r="B61" s="351" t="s">
        <v>163</v>
      </c>
      <c r="D61" s="351" t="s">
        <v>24</v>
      </c>
    </row>
    <row r="62" spans="2:5" x14ac:dyDescent="0.2">
      <c r="B62" s="351" t="s">
        <v>24</v>
      </c>
    </row>
    <row r="64" spans="2:5" x14ac:dyDescent="0.2">
      <c r="B64" s="351">
        <v>1</v>
      </c>
      <c r="C64" s="351">
        <v>1</v>
      </c>
      <c r="E64" s="351">
        <v>0</v>
      </c>
    </row>
    <row r="65" spans="1:24" x14ac:dyDescent="0.2">
      <c r="B65" s="351">
        <v>2</v>
      </c>
      <c r="C65" s="351">
        <v>0</v>
      </c>
      <c r="E65" s="351">
        <v>1</v>
      </c>
    </row>
    <row r="66" spans="1:24" x14ac:dyDescent="0.2">
      <c r="B66" s="366">
        <v>0</v>
      </c>
      <c r="E66" s="351">
        <v>2</v>
      </c>
    </row>
    <row r="68" spans="1:24" x14ac:dyDescent="0.2">
      <c r="B68" s="369">
        <v>2100</v>
      </c>
    </row>
    <row r="69" spans="1:24" x14ac:dyDescent="0.2">
      <c r="B69" s="367">
        <v>0</v>
      </c>
    </row>
    <row r="70" spans="1:24" x14ac:dyDescent="0.2">
      <c r="B70" s="374">
        <v>1</v>
      </c>
      <c r="C70" s="375">
        <v>2</v>
      </c>
      <c r="D70" s="375">
        <v>3</v>
      </c>
      <c r="E70" s="375">
        <v>4</v>
      </c>
      <c r="F70" s="375">
        <v>5</v>
      </c>
      <c r="G70" s="375">
        <v>6</v>
      </c>
      <c r="H70" s="375">
        <v>7</v>
      </c>
      <c r="I70" s="375">
        <v>8</v>
      </c>
      <c r="J70" s="375">
        <v>9</v>
      </c>
      <c r="K70" s="375">
        <v>10</v>
      </c>
      <c r="L70" s="375">
        <v>11</v>
      </c>
      <c r="M70" s="375">
        <v>12</v>
      </c>
      <c r="N70" s="375">
        <v>13</v>
      </c>
      <c r="O70" s="374">
        <v>14</v>
      </c>
      <c r="P70" s="375">
        <v>15</v>
      </c>
      <c r="Q70" s="375">
        <v>16</v>
      </c>
      <c r="R70" s="375">
        <v>17</v>
      </c>
      <c r="S70" s="375">
        <v>18</v>
      </c>
      <c r="T70" s="375">
        <v>19</v>
      </c>
      <c r="U70" s="375">
        <v>20</v>
      </c>
      <c r="V70" s="375">
        <v>21</v>
      </c>
      <c r="W70" s="375">
        <v>22</v>
      </c>
      <c r="X70" s="375">
        <v>23</v>
      </c>
    </row>
    <row r="71" spans="1:24" x14ac:dyDescent="0.2">
      <c r="B71" s="367"/>
      <c r="C71" s="368" t="s">
        <v>239</v>
      </c>
      <c r="D71" s="367"/>
      <c r="E71" s="367"/>
      <c r="F71" s="367"/>
      <c r="G71" s="367"/>
      <c r="H71" s="367"/>
      <c r="I71" s="389" t="s">
        <v>251</v>
      </c>
      <c r="J71" s="367"/>
      <c r="K71" s="367"/>
      <c r="O71" s="691" t="s">
        <v>239</v>
      </c>
      <c r="P71" s="691"/>
      <c r="Q71" s="691"/>
      <c r="R71" s="691"/>
      <c r="S71" s="691"/>
      <c r="T71" s="692" t="s">
        <v>251</v>
      </c>
      <c r="U71" s="692"/>
      <c r="V71" s="692"/>
      <c r="W71" s="692"/>
      <c r="X71" s="692"/>
    </row>
    <row r="72" spans="1:24" s="354" customFormat="1" ht="59.25" customHeight="1" x14ac:dyDescent="0.2">
      <c r="A72" s="354" t="s">
        <v>247</v>
      </c>
      <c r="B72" s="376" t="s">
        <v>188</v>
      </c>
      <c r="C72" s="387" t="s">
        <v>18</v>
      </c>
      <c r="D72" s="357" t="s">
        <v>115</v>
      </c>
      <c r="E72" s="372" t="s">
        <v>250</v>
      </c>
      <c r="F72" s="388" t="s">
        <v>189</v>
      </c>
      <c r="G72" s="373" t="s">
        <v>113</v>
      </c>
      <c r="H72" s="373" t="s">
        <v>114</v>
      </c>
      <c r="I72" s="387" t="s">
        <v>18</v>
      </c>
      <c r="J72" s="357" t="s">
        <v>115</v>
      </c>
      <c r="K72" s="372" t="s">
        <v>250</v>
      </c>
      <c r="L72" s="388" t="s">
        <v>189</v>
      </c>
      <c r="M72" s="373" t="s">
        <v>113</v>
      </c>
      <c r="N72" s="373" t="s">
        <v>114</v>
      </c>
      <c r="O72" s="353" t="s">
        <v>156</v>
      </c>
      <c r="P72" s="353" t="s">
        <v>155</v>
      </c>
      <c r="Q72" s="354" t="s">
        <v>159</v>
      </c>
      <c r="R72" s="354" t="s">
        <v>160</v>
      </c>
      <c r="S72" s="355" t="s">
        <v>158</v>
      </c>
      <c r="T72" s="353" t="s">
        <v>156</v>
      </c>
      <c r="U72" s="353" t="s">
        <v>155</v>
      </c>
      <c r="V72" s="354" t="s">
        <v>159</v>
      </c>
      <c r="W72" s="354" t="s">
        <v>160</v>
      </c>
      <c r="X72" s="355" t="s">
        <v>158</v>
      </c>
    </row>
    <row r="73" spans="1:24" x14ac:dyDescent="0.2">
      <c r="A73" s="351" t="s">
        <v>248</v>
      </c>
      <c r="B73" s="367" t="s">
        <v>186</v>
      </c>
      <c r="C73" s="369">
        <v>34600</v>
      </c>
      <c r="D73" s="369">
        <f>E73-C73</f>
        <v>17300</v>
      </c>
      <c r="E73" s="369">
        <v>51900</v>
      </c>
      <c r="F73" s="369" t="s">
        <v>187</v>
      </c>
      <c r="G73" s="369">
        <v>6700</v>
      </c>
      <c r="H73" s="369">
        <v>9900</v>
      </c>
      <c r="I73" s="369">
        <v>28600</v>
      </c>
      <c r="J73" s="367">
        <f>K73-I73</f>
        <v>8600</v>
      </c>
      <c r="K73" s="369">
        <v>37200</v>
      </c>
      <c r="L73" s="369" t="s">
        <v>187</v>
      </c>
      <c r="M73" s="369">
        <v>6000</v>
      </c>
      <c r="N73" s="369">
        <v>7800</v>
      </c>
      <c r="O73" s="416">
        <v>10</v>
      </c>
      <c r="P73" s="416">
        <f t="shared" ref="P73:P108" si="8">Q73*R73*15*1850/1000000000</f>
        <v>0.27750000000000002</v>
      </c>
      <c r="Q73" s="351">
        <v>100</v>
      </c>
      <c r="R73" s="351">
        <v>100</v>
      </c>
      <c r="S73" s="362">
        <f t="shared" ref="S73:S108" si="9">O73-P73</f>
        <v>9.7225000000000001</v>
      </c>
      <c r="T73" s="416">
        <v>12</v>
      </c>
      <c r="U73" s="381">
        <f t="shared" ref="U73:U109" si="10">V73*W73*15*1850/1000000000</f>
        <v>0.27750000000000002</v>
      </c>
      <c r="V73" s="351">
        <v>100</v>
      </c>
      <c r="W73" s="351">
        <v>100</v>
      </c>
      <c r="X73" s="420">
        <f t="shared" ref="X73:X109" si="11">T73-U73</f>
        <v>11.7225</v>
      </c>
    </row>
    <row r="74" spans="1:24" x14ac:dyDescent="0.2">
      <c r="A74" s="351" t="s">
        <v>249</v>
      </c>
      <c r="B74" s="367" t="s">
        <v>190</v>
      </c>
      <c r="C74" s="369">
        <v>63600</v>
      </c>
      <c r="D74" s="369">
        <f t="shared" ref="D74:D113" si="12">E74-C74</f>
        <v>31800</v>
      </c>
      <c r="E74" s="369">
        <v>95400</v>
      </c>
      <c r="F74" s="369" t="s">
        <v>187</v>
      </c>
      <c r="G74" s="369">
        <v>6700</v>
      </c>
      <c r="H74" s="369">
        <v>9900</v>
      </c>
      <c r="I74" s="369" t="s">
        <v>253</v>
      </c>
      <c r="J74" s="367">
        <v>0</v>
      </c>
      <c r="K74" s="370">
        <v>0</v>
      </c>
      <c r="L74" s="369" t="s">
        <v>187</v>
      </c>
      <c r="M74" s="369">
        <v>0</v>
      </c>
      <c r="N74" s="369">
        <v>0</v>
      </c>
      <c r="O74" s="416">
        <v>12</v>
      </c>
      <c r="P74" s="416">
        <f t="shared" si="8"/>
        <v>0.27750000000000002</v>
      </c>
      <c r="Q74" s="351">
        <v>100</v>
      </c>
      <c r="R74" s="351">
        <v>100</v>
      </c>
      <c r="S74" s="362">
        <f t="shared" si="9"/>
        <v>11.7225</v>
      </c>
      <c r="T74" s="417">
        <v>0</v>
      </c>
      <c r="U74" s="381">
        <f t="shared" si="10"/>
        <v>0.27750000000000002</v>
      </c>
      <c r="V74" s="351">
        <v>100</v>
      </c>
      <c r="W74" s="351">
        <v>100</v>
      </c>
      <c r="X74" s="420">
        <v>0</v>
      </c>
    </row>
    <row r="75" spans="1:24" x14ac:dyDescent="0.2">
      <c r="B75" s="369" t="s">
        <v>191</v>
      </c>
      <c r="C75" s="369">
        <v>122900</v>
      </c>
      <c r="D75" s="369">
        <f t="shared" si="12"/>
        <v>61400</v>
      </c>
      <c r="E75" s="369">
        <v>184300</v>
      </c>
      <c r="F75" s="369" t="s">
        <v>192</v>
      </c>
      <c r="G75" s="369">
        <v>2900</v>
      </c>
      <c r="H75" s="369">
        <v>2900</v>
      </c>
      <c r="I75" s="369" t="s">
        <v>253</v>
      </c>
      <c r="J75" s="369">
        <v>0</v>
      </c>
      <c r="K75" s="369">
        <v>0</v>
      </c>
      <c r="L75" s="369" t="s">
        <v>192</v>
      </c>
      <c r="M75" s="369">
        <v>0</v>
      </c>
      <c r="N75" s="369">
        <v>0</v>
      </c>
      <c r="O75" s="416">
        <v>9.3800000000000008</v>
      </c>
      <c r="P75" s="416">
        <f t="shared" si="8"/>
        <v>0.27750000000000002</v>
      </c>
      <c r="Q75" s="351">
        <v>100</v>
      </c>
      <c r="R75" s="351">
        <v>100</v>
      </c>
      <c r="S75" s="362">
        <f t="shared" si="9"/>
        <v>9.1025000000000009</v>
      </c>
      <c r="T75" s="417">
        <v>0</v>
      </c>
      <c r="U75" s="381">
        <f t="shared" si="10"/>
        <v>0.27750000000000002</v>
      </c>
      <c r="V75" s="351">
        <v>100</v>
      </c>
      <c r="W75" s="351">
        <v>100</v>
      </c>
      <c r="X75" s="420">
        <v>0</v>
      </c>
    </row>
    <row r="76" spans="1:24" x14ac:dyDescent="0.2">
      <c r="B76" s="369" t="s">
        <v>308</v>
      </c>
      <c r="C76" s="369" t="s">
        <v>320</v>
      </c>
      <c r="D76" s="369">
        <v>0</v>
      </c>
      <c r="E76" s="369">
        <v>0</v>
      </c>
      <c r="F76" s="369" t="s">
        <v>192</v>
      </c>
      <c r="G76" s="369">
        <v>0</v>
      </c>
      <c r="H76" s="369">
        <v>0</v>
      </c>
      <c r="I76" s="369">
        <v>45200</v>
      </c>
      <c r="J76" s="369">
        <f>K76-I76</f>
        <v>13500</v>
      </c>
      <c r="K76" s="369">
        <v>58700</v>
      </c>
      <c r="L76" s="369" t="s">
        <v>192</v>
      </c>
      <c r="M76" s="369">
        <v>0</v>
      </c>
      <c r="N76" s="369">
        <v>0</v>
      </c>
      <c r="O76" s="417">
        <v>0</v>
      </c>
      <c r="P76" s="416">
        <f t="shared" si="8"/>
        <v>0.27750000000000002</v>
      </c>
      <c r="Q76" s="351">
        <v>100</v>
      </c>
      <c r="R76" s="351">
        <v>100</v>
      </c>
      <c r="S76" s="362">
        <v>0</v>
      </c>
      <c r="T76" s="416">
        <v>12.4</v>
      </c>
      <c r="U76" s="381">
        <f t="shared" si="10"/>
        <v>0.27750000000000002</v>
      </c>
      <c r="V76" s="351">
        <v>100</v>
      </c>
      <c r="W76" s="351">
        <v>100</v>
      </c>
      <c r="X76" s="420">
        <f t="shared" si="11"/>
        <v>12.1225</v>
      </c>
    </row>
    <row r="77" spans="1:24" x14ac:dyDescent="0.2">
      <c r="B77" s="369" t="s">
        <v>309</v>
      </c>
      <c r="C77" s="369" t="s">
        <v>320</v>
      </c>
      <c r="D77" s="369">
        <v>0</v>
      </c>
      <c r="E77" s="369">
        <v>0</v>
      </c>
      <c r="F77" s="369" t="s">
        <v>192</v>
      </c>
      <c r="G77" s="369">
        <v>0</v>
      </c>
      <c r="H77" s="369">
        <v>0</v>
      </c>
      <c r="I77" s="369">
        <v>54200</v>
      </c>
      <c r="J77" s="369">
        <f>K77-I77</f>
        <v>16300</v>
      </c>
      <c r="K77" s="369">
        <v>70500</v>
      </c>
      <c r="L77" s="369" t="s">
        <v>192</v>
      </c>
      <c r="M77" s="369">
        <v>0</v>
      </c>
      <c r="N77" s="369">
        <v>0</v>
      </c>
      <c r="O77" s="417">
        <v>0</v>
      </c>
      <c r="P77" s="416">
        <f t="shared" si="8"/>
        <v>0.27750000000000002</v>
      </c>
      <c r="Q77" s="351">
        <v>100</v>
      </c>
      <c r="R77" s="351">
        <v>100</v>
      </c>
      <c r="S77" s="362">
        <v>0</v>
      </c>
      <c r="T77" s="416">
        <v>12.4</v>
      </c>
      <c r="U77" s="381">
        <f t="shared" si="10"/>
        <v>0.27750000000000002</v>
      </c>
      <c r="V77" s="351">
        <v>100</v>
      </c>
      <c r="W77" s="351">
        <v>100</v>
      </c>
      <c r="X77" s="420">
        <f t="shared" si="11"/>
        <v>12.1225</v>
      </c>
    </row>
    <row r="78" spans="1:24" x14ac:dyDescent="0.2">
      <c r="B78" s="369" t="s">
        <v>193</v>
      </c>
      <c r="C78" s="369">
        <v>39200</v>
      </c>
      <c r="D78" s="369">
        <f t="shared" si="12"/>
        <v>19600</v>
      </c>
      <c r="E78" s="369">
        <v>58800</v>
      </c>
      <c r="F78" s="369" t="s">
        <v>187</v>
      </c>
      <c r="G78" s="369">
        <v>6700</v>
      </c>
      <c r="H78" s="369">
        <v>9900</v>
      </c>
      <c r="I78" s="369">
        <v>33000</v>
      </c>
      <c r="J78" s="369">
        <f t="shared" ref="J78:J113" si="13">K78-I78</f>
        <v>10000</v>
      </c>
      <c r="K78" s="369">
        <v>43000</v>
      </c>
      <c r="L78" s="369" t="s">
        <v>187</v>
      </c>
      <c r="M78" s="369">
        <v>6000</v>
      </c>
      <c r="N78" s="369">
        <v>7800</v>
      </c>
      <c r="O78" s="417">
        <v>9</v>
      </c>
      <c r="P78" s="416">
        <f t="shared" si="8"/>
        <v>0.27750000000000002</v>
      </c>
      <c r="Q78" s="351">
        <v>100</v>
      </c>
      <c r="R78" s="351">
        <v>100</v>
      </c>
      <c r="S78" s="362">
        <f t="shared" si="9"/>
        <v>8.7225000000000001</v>
      </c>
      <c r="T78" s="416">
        <v>11</v>
      </c>
      <c r="U78" s="381">
        <f t="shared" si="10"/>
        <v>0.27750000000000002</v>
      </c>
      <c r="V78" s="351">
        <v>100</v>
      </c>
      <c r="W78" s="351">
        <v>100</v>
      </c>
      <c r="X78" s="420">
        <f t="shared" si="11"/>
        <v>10.7225</v>
      </c>
    </row>
    <row r="79" spans="1:24" x14ac:dyDescent="0.2">
      <c r="B79" s="369" t="s">
        <v>194</v>
      </c>
      <c r="C79" s="369">
        <v>39200</v>
      </c>
      <c r="D79" s="369">
        <f t="shared" si="12"/>
        <v>19600</v>
      </c>
      <c r="E79" s="369">
        <v>58800</v>
      </c>
      <c r="F79" s="369" t="s">
        <v>195</v>
      </c>
      <c r="G79" s="369">
        <v>6700</v>
      </c>
      <c r="H79" s="369">
        <v>9900</v>
      </c>
      <c r="I79" s="369">
        <v>33000</v>
      </c>
      <c r="J79" s="369">
        <f t="shared" si="13"/>
        <v>10000</v>
      </c>
      <c r="K79" s="369">
        <v>43000</v>
      </c>
      <c r="L79" s="369" t="s">
        <v>195</v>
      </c>
      <c r="M79" s="369">
        <v>6000</v>
      </c>
      <c r="N79" s="369">
        <v>7800</v>
      </c>
      <c r="O79" s="417">
        <v>8</v>
      </c>
      <c r="P79" s="416">
        <f t="shared" si="8"/>
        <v>0.27750000000000002</v>
      </c>
      <c r="Q79" s="351">
        <v>100</v>
      </c>
      <c r="R79" s="351">
        <v>100</v>
      </c>
      <c r="S79" s="362">
        <f t="shared" si="9"/>
        <v>7.7225000000000001</v>
      </c>
      <c r="T79" s="416">
        <v>10</v>
      </c>
      <c r="U79" s="381">
        <f t="shared" si="10"/>
        <v>0.27750000000000002</v>
      </c>
      <c r="V79" s="351">
        <v>100</v>
      </c>
      <c r="W79" s="351">
        <v>100</v>
      </c>
      <c r="X79" s="420">
        <f t="shared" si="11"/>
        <v>9.7225000000000001</v>
      </c>
    </row>
    <row r="80" spans="1:24" x14ac:dyDescent="0.2">
      <c r="B80" s="369" t="s">
        <v>196</v>
      </c>
      <c r="C80" s="369">
        <v>47400</v>
      </c>
      <c r="D80" s="369">
        <f t="shared" si="12"/>
        <v>23700</v>
      </c>
      <c r="E80" s="369">
        <v>71100</v>
      </c>
      <c r="F80" s="369" t="s">
        <v>187</v>
      </c>
      <c r="G80" s="369">
        <v>6700</v>
      </c>
      <c r="H80" s="369">
        <v>9900</v>
      </c>
      <c r="I80" s="369">
        <v>38900</v>
      </c>
      <c r="J80" s="369">
        <f t="shared" si="13"/>
        <v>11700</v>
      </c>
      <c r="K80" s="369">
        <v>50600</v>
      </c>
      <c r="L80" s="369" t="s">
        <v>187</v>
      </c>
      <c r="M80" s="369">
        <v>6000</v>
      </c>
      <c r="N80" s="369">
        <v>7800</v>
      </c>
      <c r="O80" s="417">
        <v>13</v>
      </c>
      <c r="P80" s="416">
        <f t="shared" si="8"/>
        <v>0.27750000000000002</v>
      </c>
      <c r="Q80" s="351">
        <v>100</v>
      </c>
      <c r="R80" s="351">
        <v>100</v>
      </c>
      <c r="S80" s="362">
        <f t="shared" si="9"/>
        <v>12.7225</v>
      </c>
      <c r="T80" s="416">
        <v>15</v>
      </c>
      <c r="U80" s="381">
        <f t="shared" si="10"/>
        <v>0.27750000000000002</v>
      </c>
      <c r="V80" s="351">
        <v>100</v>
      </c>
      <c r="W80" s="351">
        <v>100</v>
      </c>
      <c r="X80" s="420">
        <f t="shared" si="11"/>
        <v>14.7225</v>
      </c>
    </row>
    <row r="81" spans="2:24" x14ac:dyDescent="0.2">
      <c r="B81" s="369" t="s">
        <v>197</v>
      </c>
      <c r="C81" s="369">
        <v>47400</v>
      </c>
      <c r="D81" s="369">
        <f t="shared" si="12"/>
        <v>23700</v>
      </c>
      <c r="E81" s="369">
        <v>71100</v>
      </c>
      <c r="F81" s="369" t="s">
        <v>187</v>
      </c>
      <c r="G81" s="369">
        <v>6700</v>
      </c>
      <c r="H81" s="369">
        <v>9900</v>
      </c>
      <c r="I81" s="369">
        <v>38900</v>
      </c>
      <c r="J81" s="369">
        <f t="shared" si="13"/>
        <v>11700</v>
      </c>
      <c r="K81" s="369">
        <v>50600</v>
      </c>
      <c r="L81" s="369" t="s">
        <v>187</v>
      </c>
      <c r="M81" s="369">
        <v>6000</v>
      </c>
      <c r="N81" s="369">
        <v>7800</v>
      </c>
      <c r="O81" s="417">
        <v>12</v>
      </c>
      <c r="P81" s="416">
        <f t="shared" si="8"/>
        <v>0.27750000000000002</v>
      </c>
      <c r="Q81" s="351">
        <v>100</v>
      </c>
      <c r="R81" s="351">
        <v>100</v>
      </c>
      <c r="S81" s="362">
        <f t="shared" si="9"/>
        <v>11.7225</v>
      </c>
      <c r="T81" s="416">
        <v>14</v>
      </c>
      <c r="U81" s="381">
        <f t="shared" si="10"/>
        <v>0.27750000000000002</v>
      </c>
      <c r="V81" s="351">
        <v>100</v>
      </c>
      <c r="W81" s="351">
        <v>100</v>
      </c>
      <c r="X81" s="420">
        <f t="shared" si="11"/>
        <v>13.7225</v>
      </c>
    </row>
    <row r="82" spans="2:24" x14ac:dyDescent="0.2">
      <c r="B82" s="369" t="s">
        <v>198</v>
      </c>
      <c r="C82" s="369">
        <v>47400</v>
      </c>
      <c r="D82" s="369">
        <f t="shared" si="12"/>
        <v>23700</v>
      </c>
      <c r="E82" s="369">
        <v>71100</v>
      </c>
      <c r="F82" s="369" t="s">
        <v>187</v>
      </c>
      <c r="G82" s="369">
        <v>6700</v>
      </c>
      <c r="H82" s="369">
        <v>9900</v>
      </c>
      <c r="I82" s="369">
        <v>38900</v>
      </c>
      <c r="J82" s="369">
        <f t="shared" si="13"/>
        <v>11700</v>
      </c>
      <c r="K82" s="369">
        <v>50600</v>
      </c>
      <c r="L82" s="369" t="s">
        <v>187</v>
      </c>
      <c r="M82" s="369">
        <v>6000</v>
      </c>
      <c r="N82" s="369">
        <v>7800</v>
      </c>
      <c r="O82" s="417">
        <v>15</v>
      </c>
      <c r="P82" s="416">
        <f t="shared" si="8"/>
        <v>0.27750000000000002</v>
      </c>
      <c r="Q82" s="351">
        <v>100</v>
      </c>
      <c r="R82" s="351">
        <v>100</v>
      </c>
      <c r="S82" s="362">
        <f t="shared" si="9"/>
        <v>14.7225</v>
      </c>
      <c r="T82" s="416">
        <v>17</v>
      </c>
      <c r="U82" s="381">
        <f t="shared" si="10"/>
        <v>0.27750000000000002</v>
      </c>
      <c r="V82" s="351">
        <v>100</v>
      </c>
      <c r="W82" s="351">
        <v>100</v>
      </c>
      <c r="X82" s="420">
        <f t="shared" si="11"/>
        <v>16.7225</v>
      </c>
    </row>
    <row r="83" spans="2:24" x14ac:dyDescent="0.2">
      <c r="B83" s="369" t="s">
        <v>199</v>
      </c>
      <c r="C83" s="369">
        <v>37200</v>
      </c>
      <c r="D83" s="369">
        <f t="shared" si="12"/>
        <v>18500</v>
      </c>
      <c r="E83" s="369">
        <v>55700</v>
      </c>
      <c r="F83" s="369" t="s">
        <v>187</v>
      </c>
      <c r="G83" s="369">
        <v>6700</v>
      </c>
      <c r="H83" s="369">
        <v>9900</v>
      </c>
      <c r="I83" s="369">
        <v>29600</v>
      </c>
      <c r="J83" s="369">
        <f t="shared" si="13"/>
        <v>8800</v>
      </c>
      <c r="K83" s="369">
        <v>38400</v>
      </c>
      <c r="L83" s="369" t="s">
        <v>187</v>
      </c>
      <c r="M83" s="369">
        <v>6000</v>
      </c>
      <c r="N83" s="369">
        <v>7800</v>
      </c>
      <c r="O83" s="417">
        <v>14</v>
      </c>
      <c r="P83" s="416">
        <f t="shared" si="8"/>
        <v>0.27750000000000002</v>
      </c>
      <c r="Q83" s="351">
        <v>100</v>
      </c>
      <c r="R83" s="351">
        <v>100</v>
      </c>
      <c r="S83" s="362">
        <f t="shared" si="9"/>
        <v>13.7225</v>
      </c>
      <c r="T83" s="416">
        <v>16</v>
      </c>
      <c r="U83" s="381">
        <f t="shared" si="10"/>
        <v>0.27750000000000002</v>
      </c>
      <c r="V83" s="351">
        <v>100</v>
      </c>
      <c r="W83" s="351">
        <v>100</v>
      </c>
      <c r="X83" s="420">
        <f t="shared" si="11"/>
        <v>15.7225</v>
      </c>
    </row>
    <row r="84" spans="2:24" x14ac:dyDescent="0.2">
      <c r="B84" s="369" t="s">
        <v>200</v>
      </c>
      <c r="C84" s="369">
        <v>39700</v>
      </c>
      <c r="D84" s="369">
        <f t="shared" si="12"/>
        <v>19900</v>
      </c>
      <c r="E84" s="369">
        <v>59600</v>
      </c>
      <c r="F84" s="369" t="s">
        <v>201</v>
      </c>
      <c r="G84" s="369">
        <v>6700</v>
      </c>
      <c r="H84" s="369">
        <v>9900</v>
      </c>
      <c r="I84" s="369">
        <v>31500</v>
      </c>
      <c r="J84" s="369">
        <f t="shared" si="13"/>
        <v>9500</v>
      </c>
      <c r="K84" s="369">
        <v>41000</v>
      </c>
      <c r="L84" s="369" t="s">
        <v>187</v>
      </c>
      <c r="M84" s="369">
        <v>6000</v>
      </c>
      <c r="N84" s="369">
        <v>7800</v>
      </c>
      <c r="O84" s="417">
        <v>15</v>
      </c>
      <c r="P84" s="416">
        <f t="shared" si="8"/>
        <v>0.27750000000000002</v>
      </c>
      <c r="Q84" s="351">
        <v>100</v>
      </c>
      <c r="R84" s="351">
        <v>100</v>
      </c>
      <c r="S84" s="362">
        <f t="shared" si="9"/>
        <v>14.7225</v>
      </c>
      <c r="T84" s="416">
        <v>17</v>
      </c>
      <c r="U84" s="381">
        <f t="shared" si="10"/>
        <v>0.27750000000000002</v>
      </c>
      <c r="V84" s="351">
        <v>100</v>
      </c>
      <c r="W84" s="351">
        <v>100</v>
      </c>
      <c r="X84" s="420">
        <f t="shared" si="11"/>
        <v>16.7225</v>
      </c>
    </row>
    <row r="85" spans="2:24" x14ac:dyDescent="0.2">
      <c r="B85" s="369" t="s">
        <v>202</v>
      </c>
      <c r="C85" s="369">
        <v>39000</v>
      </c>
      <c r="D85" s="369">
        <f t="shared" si="12"/>
        <v>19500</v>
      </c>
      <c r="E85" s="369">
        <v>58500</v>
      </c>
      <c r="F85" s="369" t="s">
        <v>192</v>
      </c>
      <c r="G85" s="369">
        <v>2900</v>
      </c>
      <c r="H85" s="369">
        <v>2900</v>
      </c>
      <c r="I85" s="369">
        <v>31000</v>
      </c>
      <c r="J85" s="369">
        <f t="shared" si="13"/>
        <v>9400</v>
      </c>
      <c r="K85" s="369">
        <v>40400</v>
      </c>
      <c r="L85" s="369" t="s">
        <v>192</v>
      </c>
      <c r="M85" s="369">
        <v>2900</v>
      </c>
      <c r="N85" s="369">
        <v>2900</v>
      </c>
      <c r="O85" s="417">
        <v>14</v>
      </c>
      <c r="P85" s="416">
        <f t="shared" si="8"/>
        <v>0.27750000000000002</v>
      </c>
      <c r="Q85" s="351">
        <v>100</v>
      </c>
      <c r="R85" s="351">
        <v>100</v>
      </c>
      <c r="S85" s="362">
        <f t="shared" si="9"/>
        <v>13.7225</v>
      </c>
      <c r="T85" s="416">
        <v>17</v>
      </c>
      <c r="U85" s="381">
        <f t="shared" si="10"/>
        <v>0.27750000000000002</v>
      </c>
      <c r="V85" s="351">
        <v>100</v>
      </c>
      <c r="W85" s="351">
        <v>100</v>
      </c>
      <c r="X85" s="420">
        <f t="shared" si="11"/>
        <v>16.7225</v>
      </c>
    </row>
    <row r="86" spans="2:24" x14ac:dyDescent="0.2">
      <c r="B86" s="369" t="s">
        <v>203</v>
      </c>
      <c r="C86" s="369">
        <v>41700</v>
      </c>
      <c r="D86" s="369">
        <f t="shared" si="12"/>
        <v>20900</v>
      </c>
      <c r="E86" s="369">
        <v>62600</v>
      </c>
      <c r="F86" s="369" t="s">
        <v>192</v>
      </c>
      <c r="G86" s="369">
        <v>2900</v>
      </c>
      <c r="H86" s="369">
        <v>2900</v>
      </c>
      <c r="I86" s="369">
        <v>33100</v>
      </c>
      <c r="J86" s="369">
        <f t="shared" si="13"/>
        <v>10000</v>
      </c>
      <c r="K86" s="369">
        <v>43100</v>
      </c>
      <c r="L86" s="369" t="s">
        <v>192</v>
      </c>
      <c r="M86" s="369">
        <v>2900</v>
      </c>
      <c r="N86" s="369">
        <v>2900</v>
      </c>
      <c r="O86" s="417">
        <v>16</v>
      </c>
      <c r="P86" s="416">
        <f t="shared" si="8"/>
        <v>0.27750000000000002</v>
      </c>
      <c r="Q86" s="351">
        <v>100</v>
      </c>
      <c r="R86" s="351">
        <v>100</v>
      </c>
      <c r="S86" s="362">
        <f t="shared" si="9"/>
        <v>15.7225</v>
      </c>
      <c r="T86" s="416">
        <v>20</v>
      </c>
      <c r="U86" s="381">
        <f t="shared" si="10"/>
        <v>0.27750000000000002</v>
      </c>
      <c r="V86" s="351">
        <v>100</v>
      </c>
      <c r="W86" s="351">
        <v>100</v>
      </c>
      <c r="X86" s="420">
        <f t="shared" si="11"/>
        <v>19.7225</v>
      </c>
    </row>
    <row r="87" spans="2:24" x14ac:dyDescent="0.2">
      <c r="B87" s="369" t="s">
        <v>204</v>
      </c>
      <c r="C87" s="369">
        <v>39000</v>
      </c>
      <c r="D87" s="369">
        <f t="shared" si="12"/>
        <v>19500</v>
      </c>
      <c r="E87" s="369">
        <v>58500</v>
      </c>
      <c r="F87" s="369" t="s">
        <v>192</v>
      </c>
      <c r="G87" s="369">
        <v>2900</v>
      </c>
      <c r="H87" s="369">
        <v>2900</v>
      </c>
      <c r="I87" s="369">
        <v>31000</v>
      </c>
      <c r="J87" s="369">
        <f t="shared" si="13"/>
        <v>9400</v>
      </c>
      <c r="K87" s="369">
        <v>40400</v>
      </c>
      <c r="L87" s="369" t="s">
        <v>192</v>
      </c>
      <c r="M87" s="369">
        <v>2900</v>
      </c>
      <c r="N87" s="369">
        <v>2900</v>
      </c>
      <c r="O87" s="417">
        <v>18</v>
      </c>
      <c r="P87" s="416">
        <f t="shared" si="8"/>
        <v>0.27750000000000002</v>
      </c>
      <c r="Q87" s="351">
        <v>100</v>
      </c>
      <c r="R87" s="351">
        <v>100</v>
      </c>
      <c r="S87" s="362">
        <f t="shared" si="9"/>
        <v>17.7225</v>
      </c>
      <c r="T87" s="416">
        <v>22</v>
      </c>
      <c r="U87" s="381">
        <f t="shared" si="10"/>
        <v>0.27750000000000002</v>
      </c>
      <c r="V87" s="351">
        <v>100</v>
      </c>
      <c r="W87" s="351">
        <v>100</v>
      </c>
      <c r="X87" s="420">
        <f t="shared" si="11"/>
        <v>21.7225</v>
      </c>
    </row>
    <row r="88" spans="2:24" x14ac:dyDescent="0.2">
      <c r="B88" s="369" t="s">
        <v>205</v>
      </c>
      <c r="C88" s="369">
        <v>41700</v>
      </c>
      <c r="D88" s="369">
        <f t="shared" si="12"/>
        <v>20900</v>
      </c>
      <c r="E88" s="369">
        <v>62600</v>
      </c>
      <c r="F88" s="369" t="s">
        <v>192</v>
      </c>
      <c r="G88" s="369">
        <v>2900</v>
      </c>
      <c r="H88" s="369">
        <v>2900</v>
      </c>
      <c r="I88" s="369">
        <v>33100</v>
      </c>
      <c r="J88" s="369">
        <f t="shared" si="13"/>
        <v>10000</v>
      </c>
      <c r="K88" s="369">
        <v>43100</v>
      </c>
      <c r="L88" s="369" t="s">
        <v>192</v>
      </c>
      <c r="M88" s="369">
        <v>2900</v>
      </c>
      <c r="N88" s="369">
        <v>2900</v>
      </c>
      <c r="O88" s="417">
        <v>20</v>
      </c>
      <c r="P88" s="416">
        <f t="shared" si="8"/>
        <v>0.27750000000000002</v>
      </c>
      <c r="Q88" s="351">
        <v>100</v>
      </c>
      <c r="R88" s="351">
        <v>100</v>
      </c>
      <c r="S88" s="362">
        <f t="shared" si="9"/>
        <v>19.7225</v>
      </c>
      <c r="T88" s="416">
        <v>24</v>
      </c>
      <c r="U88" s="381">
        <f t="shared" si="10"/>
        <v>0.27750000000000002</v>
      </c>
      <c r="V88" s="351">
        <v>100</v>
      </c>
      <c r="W88" s="351">
        <v>100</v>
      </c>
      <c r="X88" s="420">
        <f t="shared" si="11"/>
        <v>23.7225</v>
      </c>
    </row>
    <row r="89" spans="2:24" x14ac:dyDescent="0.2">
      <c r="B89" s="367" t="s">
        <v>206</v>
      </c>
      <c r="C89" s="369">
        <v>33500</v>
      </c>
      <c r="D89" s="369">
        <f t="shared" si="12"/>
        <v>16800</v>
      </c>
      <c r="E89" s="369">
        <v>50300</v>
      </c>
      <c r="F89" s="369" t="s">
        <v>195</v>
      </c>
      <c r="G89" s="369">
        <v>6700</v>
      </c>
      <c r="H89" s="369">
        <v>9900</v>
      </c>
      <c r="I89" s="369">
        <v>28000</v>
      </c>
      <c r="J89" s="367">
        <f t="shared" si="13"/>
        <v>8400</v>
      </c>
      <c r="K89" s="369">
        <v>36400</v>
      </c>
      <c r="L89" s="369" t="s">
        <v>195</v>
      </c>
      <c r="M89" s="369">
        <v>6000</v>
      </c>
      <c r="N89" s="369">
        <v>7800</v>
      </c>
      <c r="O89" s="417">
        <v>6</v>
      </c>
      <c r="P89" s="416">
        <f t="shared" si="8"/>
        <v>0.27750000000000002</v>
      </c>
      <c r="Q89" s="351">
        <v>100</v>
      </c>
      <c r="R89" s="351">
        <v>100</v>
      </c>
      <c r="S89" s="362">
        <f t="shared" si="9"/>
        <v>5.7225000000000001</v>
      </c>
      <c r="T89" s="416">
        <v>8</v>
      </c>
      <c r="U89" s="381">
        <f t="shared" si="10"/>
        <v>0.27750000000000002</v>
      </c>
      <c r="V89" s="351">
        <v>100</v>
      </c>
      <c r="W89" s="351">
        <v>100</v>
      </c>
      <c r="X89" s="420">
        <f t="shared" si="11"/>
        <v>7.7225000000000001</v>
      </c>
    </row>
    <row r="90" spans="2:24" x14ac:dyDescent="0.2">
      <c r="B90" s="367" t="s">
        <v>207</v>
      </c>
      <c r="C90" s="369">
        <v>43400</v>
      </c>
      <c r="D90" s="369">
        <f t="shared" si="12"/>
        <v>21600</v>
      </c>
      <c r="E90" s="369">
        <v>65000</v>
      </c>
      <c r="F90" s="369" t="s">
        <v>195</v>
      </c>
      <c r="G90" s="369">
        <v>6700</v>
      </c>
      <c r="H90" s="369">
        <v>9900</v>
      </c>
      <c r="I90" s="369">
        <v>36000</v>
      </c>
      <c r="J90" s="367">
        <f t="shared" si="13"/>
        <v>10700</v>
      </c>
      <c r="K90" s="369">
        <v>46700</v>
      </c>
      <c r="L90" s="369" t="s">
        <v>195</v>
      </c>
      <c r="M90" s="369">
        <v>6000</v>
      </c>
      <c r="N90" s="369">
        <v>7800</v>
      </c>
      <c r="O90" s="417">
        <v>6</v>
      </c>
      <c r="P90" s="416">
        <f t="shared" si="8"/>
        <v>0.27750000000000002</v>
      </c>
      <c r="Q90" s="351">
        <v>100</v>
      </c>
      <c r="R90" s="351">
        <v>100</v>
      </c>
      <c r="S90" s="362">
        <f t="shared" si="9"/>
        <v>5.7225000000000001</v>
      </c>
      <c r="T90" s="416">
        <v>8.5</v>
      </c>
      <c r="U90" s="381">
        <f t="shared" si="10"/>
        <v>0.27750000000000002</v>
      </c>
      <c r="V90" s="351">
        <v>100</v>
      </c>
      <c r="W90" s="351">
        <v>100</v>
      </c>
      <c r="X90" s="420">
        <f t="shared" si="11"/>
        <v>8.2225000000000001</v>
      </c>
    </row>
    <row r="91" spans="2:24" x14ac:dyDescent="0.2">
      <c r="B91" s="367" t="s">
        <v>208</v>
      </c>
      <c r="C91" s="369">
        <v>46100</v>
      </c>
      <c r="D91" s="369">
        <f t="shared" si="12"/>
        <v>23100</v>
      </c>
      <c r="E91" s="369">
        <v>69200</v>
      </c>
      <c r="F91" s="369" t="s">
        <v>195</v>
      </c>
      <c r="G91" s="369">
        <v>6700</v>
      </c>
      <c r="H91" s="369">
        <v>9900</v>
      </c>
      <c r="I91" s="369">
        <v>38100</v>
      </c>
      <c r="J91" s="367">
        <f t="shared" si="13"/>
        <v>11300</v>
      </c>
      <c r="K91" s="369">
        <v>49400</v>
      </c>
      <c r="L91" s="369" t="s">
        <v>195</v>
      </c>
      <c r="M91" s="369">
        <v>6000</v>
      </c>
      <c r="N91" s="369">
        <v>7800</v>
      </c>
      <c r="O91" s="417">
        <v>8.5</v>
      </c>
      <c r="P91" s="416">
        <f t="shared" si="8"/>
        <v>0.27750000000000002</v>
      </c>
      <c r="Q91" s="351">
        <v>100</v>
      </c>
      <c r="R91" s="351">
        <v>100</v>
      </c>
      <c r="S91" s="362">
        <f t="shared" si="9"/>
        <v>8.2225000000000001</v>
      </c>
      <c r="T91" s="416">
        <v>10.5</v>
      </c>
      <c r="U91" s="381">
        <f t="shared" si="10"/>
        <v>0.27750000000000002</v>
      </c>
      <c r="V91" s="351">
        <v>100</v>
      </c>
      <c r="W91" s="351">
        <v>100</v>
      </c>
      <c r="X91" s="420">
        <f t="shared" si="11"/>
        <v>10.2225</v>
      </c>
    </row>
    <row r="92" spans="2:24" x14ac:dyDescent="0.2">
      <c r="B92" s="367" t="s">
        <v>209</v>
      </c>
      <c r="C92" s="369">
        <v>40800</v>
      </c>
      <c r="D92" s="369">
        <f t="shared" si="12"/>
        <v>20300</v>
      </c>
      <c r="E92" s="369">
        <v>61100</v>
      </c>
      <c r="F92" s="369" t="s">
        <v>195</v>
      </c>
      <c r="G92" s="369">
        <v>6700</v>
      </c>
      <c r="H92" s="369">
        <v>9900</v>
      </c>
      <c r="I92" s="369">
        <v>34000</v>
      </c>
      <c r="J92" s="367">
        <f t="shared" si="13"/>
        <v>10100</v>
      </c>
      <c r="K92" s="369">
        <v>44100</v>
      </c>
      <c r="L92" s="369" t="s">
        <v>195</v>
      </c>
      <c r="M92" s="369">
        <v>6000</v>
      </c>
      <c r="N92" s="369">
        <v>7800</v>
      </c>
      <c r="O92" s="417">
        <v>13</v>
      </c>
      <c r="P92" s="416">
        <f t="shared" si="8"/>
        <v>0.27750000000000002</v>
      </c>
      <c r="Q92" s="351">
        <v>100</v>
      </c>
      <c r="R92" s="351">
        <v>100</v>
      </c>
      <c r="S92" s="362">
        <f t="shared" si="9"/>
        <v>12.7225</v>
      </c>
      <c r="T92" s="416">
        <v>15</v>
      </c>
      <c r="U92" s="381">
        <f t="shared" si="10"/>
        <v>0.27750000000000002</v>
      </c>
      <c r="V92" s="351">
        <v>100</v>
      </c>
      <c r="W92" s="351">
        <v>100</v>
      </c>
      <c r="X92" s="420">
        <f t="shared" si="11"/>
        <v>14.7225</v>
      </c>
    </row>
    <row r="93" spans="2:24" x14ac:dyDescent="0.2">
      <c r="B93" s="367" t="s">
        <v>210</v>
      </c>
      <c r="C93" s="369">
        <v>33900</v>
      </c>
      <c r="D93" s="369">
        <f t="shared" si="12"/>
        <v>16800</v>
      </c>
      <c r="E93" s="369">
        <v>50700</v>
      </c>
      <c r="F93" s="369" t="s">
        <v>195</v>
      </c>
      <c r="G93" s="369">
        <v>6700</v>
      </c>
      <c r="H93" s="369">
        <v>9900</v>
      </c>
      <c r="I93" s="369">
        <v>27900</v>
      </c>
      <c r="J93" s="367">
        <f t="shared" si="13"/>
        <v>8300</v>
      </c>
      <c r="K93" s="369">
        <v>36200</v>
      </c>
      <c r="L93" s="369" t="s">
        <v>195</v>
      </c>
      <c r="M93" s="369">
        <v>6000</v>
      </c>
      <c r="N93" s="369">
        <v>7800</v>
      </c>
      <c r="O93" s="417">
        <v>6.5</v>
      </c>
      <c r="P93" s="416">
        <f t="shared" si="8"/>
        <v>0.27750000000000002</v>
      </c>
      <c r="Q93" s="351">
        <v>100</v>
      </c>
      <c r="R93" s="351">
        <v>100</v>
      </c>
      <c r="S93" s="362">
        <f t="shared" si="9"/>
        <v>6.2225000000000001</v>
      </c>
      <c r="T93" s="416">
        <v>8.5</v>
      </c>
      <c r="U93" s="381">
        <f t="shared" si="10"/>
        <v>0.27750000000000002</v>
      </c>
      <c r="V93" s="351">
        <v>100</v>
      </c>
      <c r="W93" s="351">
        <v>100</v>
      </c>
      <c r="X93" s="420">
        <f t="shared" si="11"/>
        <v>8.2225000000000001</v>
      </c>
    </row>
    <row r="94" spans="2:24" x14ac:dyDescent="0.2">
      <c r="B94" s="367" t="s">
        <v>211</v>
      </c>
      <c r="C94" s="369">
        <v>38600</v>
      </c>
      <c r="D94" s="369">
        <f t="shared" si="12"/>
        <v>19200</v>
      </c>
      <c r="E94" s="369">
        <v>57800</v>
      </c>
      <c r="F94" s="369" t="s">
        <v>195</v>
      </c>
      <c r="G94" s="369">
        <v>6700</v>
      </c>
      <c r="H94" s="369">
        <v>9900</v>
      </c>
      <c r="I94" s="369">
        <v>31900</v>
      </c>
      <c r="J94" s="367">
        <f t="shared" si="13"/>
        <v>9500</v>
      </c>
      <c r="K94" s="369">
        <v>41400</v>
      </c>
      <c r="L94" s="369" t="s">
        <v>195</v>
      </c>
      <c r="M94" s="369">
        <v>6000</v>
      </c>
      <c r="N94" s="369">
        <v>7800</v>
      </c>
      <c r="O94" s="417">
        <v>7.5</v>
      </c>
      <c r="P94" s="416">
        <f t="shared" si="8"/>
        <v>0.27750000000000002</v>
      </c>
      <c r="Q94" s="351">
        <v>100</v>
      </c>
      <c r="R94" s="351">
        <v>100</v>
      </c>
      <c r="S94" s="362">
        <f t="shared" si="9"/>
        <v>7.2225000000000001</v>
      </c>
      <c r="T94" s="416">
        <v>9.5</v>
      </c>
      <c r="U94" s="381">
        <f t="shared" si="10"/>
        <v>0.27750000000000002</v>
      </c>
      <c r="V94" s="351">
        <v>100</v>
      </c>
      <c r="W94" s="351">
        <v>100</v>
      </c>
      <c r="X94" s="420">
        <f t="shared" si="11"/>
        <v>9.2225000000000001</v>
      </c>
    </row>
    <row r="95" spans="2:24" x14ac:dyDescent="0.2">
      <c r="B95" s="367" t="s">
        <v>212</v>
      </c>
      <c r="C95" s="369">
        <v>26600</v>
      </c>
      <c r="D95" s="369">
        <f t="shared" si="12"/>
        <v>13300</v>
      </c>
      <c r="E95" s="369">
        <v>39900</v>
      </c>
      <c r="F95" s="369" t="s">
        <v>195</v>
      </c>
      <c r="G95" s="369">
        <v>6700</v>
      </c>
      <c r="H95" s="369">
        <v>9900</v>
      </c>
      <c r="I95" s="369">
        <v>22100</v>
      </c>
      <c r="J95" s="367">
        <f t="shared" si="13"/>
        <v>6600</v>
      </c>
      <c r="K95" s="369">
        <v>28700</v>
      </c>
      <c r="L95" s="369" t="s">
        <v>195</v>
      </c>
      <c r="M95" s="369">
        <v>6000</v>
      </c>
      <c r="N95" s="369">
        <v>7800</v>
      </c>
      <c r="O95" s="417">
        <v>7</v>
      </c>
      <c r="P95" s="416">
        <f t="shared" si="8"/>
        <v>0.27750000000000002</v>
      </c>
      <c r="Q95" s="351">
        <v>100</v>
      </c>
      <c r="R95" s="351">
        <v>100</v>
      </c>
      <c r="S95" s="362">
        <f t="shared" si="9"/>
        <v>6.7225000000000001</v>
      </c>
      <c r="T95" s="416">
        <v>9.5</v>
      </c>
      <c r="U95" s="381">
        <f t="shared" si="10"/>
        <v>0.27750000000000002</v>
      </c>
      <c r="V95" s="351">
        <v>100</v>
      </c>
      <c r="W95" s="351">
        <v>100</v>
      </c>
      <c r="X95" s="420">
        <f t="shared" si="11"/>
        <v>9.2225000000000001</v>
      </c>
    </row>
    <row r="96" spans="2:24" x14ac:dyDescent="0.2">
      <c r="B96" s="367" t="s">
        <v>213</v>
      </c>
      <c r="C96" s="369">
        <v>26600</v>
      </c>
      <c r="D96" s="369">
        <f t="shared" si="12"/>
        <v>13300</v>
      </c>
      <c r="E96" s="369">
        <v>39900</v>
      </c>
      <c r="F96" s="369" t="s">
        <v>195</v>
      </c>
      <c r="G96" s="369">
        <v>6700</v>
      </c>
      <c r="H96" s="369">
        <v>9900</v>
      </c>
      <c r="I96" s="369">
        <v>22100</v>
      </c>
      <c r="J96" s="367">
        <f t="shared" si="13"/>
        <v>6600</v>
      </c>
      <c r="K96" s="369">
        <v>28700</v>
      </c>
      <c r="L96" s="369" t="s">
        <v>195</v>
      </c>
      <c r="M96" s="369">
        <v>6000</v>
      </c>
      <c r="N96" s="369">
        <v>7800</v>
      </c>
      <c r="O96" s="417">
        <v>4</v>
      </c>
      <c r="P96" s="416">
        <f t="shared" si="8"/>
        <v>0.27750000000000002</v>
      </c>
      <c r="Q96" s="351">
        <v>100</v>
      </c>
      <c r="R96" s="351">
        <v>100</v>
      </c>
      <c r="S96" s="362">
        <f t="shared" si="9"/>
        <v>3.7225000000000001</v>
      </c>
      <c r="T96" s="416">
        <v>5.5</v>
      </c>
      <c r="U96" s="381">
        <f t="shared" si="10"/>
        <v>0.27750000000000002</v>
      </c>
      <c r="V96" s="351">
        <v>100</v>
      </c>
      <c r="W96" s="351">
        <v>100</v>
      </c>
      <c r="X96" s="420">
        <f t="shared" si="11"/>
        <v>5.2225000000000001</v>
      </c>
    </row>
    <row r="97" spans="2:24" x14ac:dyDescent="0.2">
      <c r="B97" s="367" t="s">
        <v>214</v>
      </c>
      <c r="C97" s="369">
        <v>42300</v>
      </c>
      <c r="D97" s="369">
        <f t="shared" si="12"/>
        <v>21100</v>
      </c>
      <c r="E97" s="369">
        <v>63400</v>
      </c>
      <c r="F97" s="369" t="s">
        <v>195</v>
      </c>
      <c r="G97" s="369">
        <v>6700</v>
      </c>
      <c r="H97" s="369">
        <v>9900</v>
      </c>
      <c r="I97" s="369" t="s">
        <v>253</v>
      </c>
      <c r="J97" s="367">
        <v>0</v>
      </c>
      <c r="K97" s="369">
        <v>0</v>
      </c>
      <c r="L97" s="369" t="s">
        <v>195</v>
      </c>
      <c r="M97" s="369">
        <v>0</v>
      </c>
      <c r="N97" s="369">
        <v>0</v>
      </c>
      <c r="O97" s="417">
        <v>12.5</v>
      </c>
      <c r="P97" s="416">
        <f t="shared" si="8"/>
        <v>0.27750000000000002</v>
      </c>
      <c r="Q97" s="351">
        <v>100</v>
      </c>
      <c r="R97" s="351">
        <v>100</v>
      </c>
      <c r="S97" s="362">
        <f t="shared" si="9"/>
        <v>12.2225</v>
      </c>
      <c r="T97" s="417">
        <v>0</v>
      </c>
      <c r="U97" s="381">
        <f t="shared" si="10"/>
        <v>0.27750000000000002</v>
      </c>
      <c r="V97" s="351">
        <v>100</v>
      </c>
      <c r="W97" s="351">
        <v>100</v>
      </c>
      <c r="X97" s="420">
        <v>0</v>
      </c>
    </row>
    <row r="98" spans="2:24" x14ac:dyDescent="0.2">
      <c r="B98" s="367" t="s">
        <v>215</v>
      </c>
      <c r="C98" s="369">
        <v>42300</v>
      </c>
      <c r="D98" s="369">
        <f t="shared" si="12"/>
        <v>21100</v>
      </c>
      <c r="E98" s="369">
        <v>63400</v>
      </c>
      <c r="F98" s="369" t="s">
        <v>195</v>
      </c>
      <c r="G98" s="369">
        <v>6700</v>
      </c>
      <c r="H98" s="369">
        <v>9900</v>
      </c>
      <c r="I98" s="369" t="s">
        <v>253</v>
      </c>
      <c r="J98" s="367">
        <v>0</v>
      </c>
      <c r="K98" s="369">
        <v>0</v>
      </c>
      <c r="L98" s="369" t="s">
        <v>195</v>
      </c>
      <c r="M98" s="369">
        <v>0</v>
      </c>
      <c r="N98" s="369">
        <v>0</v>
      </c>
      <c r="O98" s="417">
        <v>15</v>
      </c>
      <c r="P98" s="416">
        <f t="shared" si="8"/>
        <v>0.27750000000000002</v>
      </c>
      <c r="Q98" s="351">
        <v>100</v>
      </c>
      <c r="R98" s="351">
        <v>100</v>
      </c>
      <c r="S98" s="362">
        <f t="shared" si="9"/>
        <v>14.7225</v>
      </c>
      <c r="T98" s="417">
        <v>0</v>
      </c>
      <c r="U98" s="381">
        <f t="shared" si="10"/>
        <v>0.27750000000000002</v>
      </c>
      <c r="V98" s="351">
        <v>100</v>
      </c>
      <c r="W98" s="351">
        <v>100</v>
      </c>
      <c r="X98" s="420">
        <v>0</v>
      </c>
    </row>
    <row r="99" spans="2:24" x14ac:dyDescent="0.2">
      <c r="B99" s="367" t="s">
        <v>216</v>
      </c>
      <c r="C99" s="369">
        <v>38200</v>
      </c>
      <c r="D99" s="369">
        <f t="shared" si="12"/>
        <v>19100</v>
      </c>
      <c r="E99" s="369">
        <v>57300</v>
      </c>
      <c r="F99" s="369" t="s">
        <v>195</v>
      </c>
      <c r="G99" s="369">
        <v>6700</v>
      </c>
      <c r="H99" s="369">
        <v>9900</v>
      </c>
      <c r="I99" s="369" t="s">
        <v>253</v>
      </c>
      <c r="J99" s="367">
        <v>0</v>
      </c>
      <c r="K99" s="369">
        <v>0</v>
      </c>
      <c r="L99" s="369" t="s">
        <v>195</v>
      </c>
      <c r="M99" s="369">
        <v>0</v>
      </c>
      <c r="N99" s="369">
        <v>0</v>
      </c>
      <c r="O99" s="417">
        <v>8</v>
      </c>
      <c r="P99" s="416">
        <f t="shared" si="8"/>
        <v>0.27750000000000002</v>
      </c>
      <c r="Q99" s="351">
        <v>100</v>
      </c>
      <c r="R99" s="351">
        <v>100</v>
      </c>
      <c r="S99" s="362">
        <f t="shared" si="9"/>
        <v>7.7225000000000001</v>
      </c>
      <c r="T99" s="417">
        <v>0</v>
      </c>
      <c r="U99" s="381">
        <f t="shared" si="10"/>
        <v>0.27750000000000002</v>
      </c>
      <c r="V99" s="351">
        <v>100</v>
      </c>
      <c r="W99" s="351">
        <v>100</v>
      </c>
      <c r="X99" s="420">
        <v>0</v>
      </c>
    </row>
    <row r="100" spans="2:24" x14ac:dyDescent="0.2">
      <c r="B100" s="367" t="s">
        <v>217</v>
      </c>
      <c r="C100" s="369">
        <v>48300</v>
      </c>
      <c r="D100" s="369">
        <f t="shared" si="12"/>
        <v>24200</v>
      </c>
      <c r="E100" s="369">
        <v>72500</v>
      </c>
      <c r="F100" s="369" t="s">
        <v>195</v>
      </c>
      <c r="G100" s="369">
        <v>6700</v>
      </c>
      <c r="H100" s="369">
        <v>9900</v>
      </c>
      <c r="I100" s="369">
        <v>43500</v>
      </c>
      <c r="J100" s="367">
        <f t="shared" si="13"/>
        <v>13100</v>
      </c>
      <c r="K100" s="369">
        <v>56600</v>
      </c>
      <c r="L100" s="369" t="s">
        <v>195</v>
      </c>
      <c r="M100" s="369">
        <v>6000</v>
      </c>
      <c r="N100" s="369">
        <v>7800</v>
      </c>
      <c r="O100" s="417">
        <v>11</v>
      </c>
      <c r="P100" s="416">
        <f t="shared" si="8"/>
        <v>0.27750000000000002</v>
      </c>
      <c r="Q100" s="351">
        <v>100</v>
      </c>
      <c r="R100" s="351">
        <v>100</v>
      </c>
      <c r="S100" s="362">
        <f t="shared" si="9"/>
        <v>10.7225</v>
      </c>
      <c r="T100" s="416">
        <v>12</v>
      </c>
      <c r="U100" s="381">
        <f t="shared" si="10"/>
        <v>0.27750000000000002</v>
      </c>
      <c r="V100" s="351">
        <v>100</v>
      </c>
      <c r="W100" s="351">
        <v>100</v>
      </c>
      <c r="X100" s="420">
        <f t="shared" si="11"/>
        <v>11.7225</v>
      </c>
    </row>
    <row r="101" spans="2:24" x14ac:dyDescent="0.2">
      <c r="B101" s="367" t="s">
        <v>222</v>
      </c>
      <c r="C101" s="369">
        <v>48300</v>
      </c>
      <c r="D101" s="369">
        <f t="shared" si="12"/>
        <v>24200</v>
      </c>
      <c r="E101" s="369">
        <v>72500</v>
      </c>
      <c r="F101" s="369" t="s">
        <v>195</v>
      </c>
      <c r="G101" s="369">
        <v>6700</v>
      </c>
      <c r="H101" s="369">
        <v>9900</v>
      </c>
      <c r="I101" s="369" t="s">
        <v>253</v>
      </c>
      <c r="J101" s="367">
        <v>0</v>
      </c>
      <c r="K101" s="369">
        <v>0</v>
      </c>
      <c r="L101" s="369" t="s">
        <v>195</v>
      </c>
      <c r="M101" s="369">
        <v>0</v>
      </c>
      <c r="N101" s="369">
        <v>0</v>
      </c>
      <c r="O101" s="417">
        <v>12.5</v>
      </c>
      <c r="P101" s="416">
        <f t="shared" si="8"/>
        <v>0.27750000000000002</v>
      </c>
      <c r="Q101" s="351">
        <v>100</v>
      </c>
      <c r="R101" s="351">
        <v>100</v>
      </c>
      <c r="S101" s="362">
        <f t="shared" si="9"/>
        <v>12.2225</v>
      </c>
      <c r="T101" s="417">
        <v>0</v>
      </c>
      <c r="U101" s="381">
        <f t="shared" si="10"/>
        <v>0.27750000000000002</v>
      </c>
      <c r="V101" s="351">
        <v>100</v>
      </c>
      <c r="W101" s="351">
        <v>100</v>
      </c>
      <c r="X101" s="420">
        <v>0</v>
      </c>
    </row>
    <row r="102" spans="2:24" x14ac:dyDescent="0.2">
      <c r="B102" s="367" t="s">
        <v>223</v>
      </c>
      <c r="C102" s="369">
        <v>59000</v>
      </c>
      <c r="D102" s="369">
        <f t="shared" si="12"/>
        <v>29500</v>
      </c>
      <c r="E102" s="369">
        <v>88500</v>
      </c>
      <c r="F102" s="369" t="s">
        <v>195</v>
      </c>
      <c r="G102" s="369">
        <v>6700</v>
      </c>
      <c r="H102" s="369">
        <v>9900</v>
      </c>
      <c r="I102" s="369">
        <v>53100</v>
      </c>
      <c r="J102" s="367">
        <f t="shared" si="13"/>
        <v>15900</v>
      </c>
      <c r="K102" s="369">
        <v>69000</v>
      </c>
      <c r="L102" s="369" t="s">
        <v>195</v>
      </c>
      <c r="M102" s="369">
        <v>6000</v>
      </c>
      <c r="N102" s="369">
        <v>7800</v>
      </c>
      <c r="O102" s="417">
        <v>10</v>
      </c>
      <c r="P102" s="416">
        <f t="shared" si="8"/>
        <v>0.27750000000000002</v>
      </c>
      <c r="Q102" s="351">
        <v>100</v>
      </c>
      <c r="R102" s="351">
        <v>100</v>
      </c>
      <c r="S102" s="362">
        <f t="shared" si="9"/>
        <v>9.7225000000000001</v>
      </c>
      <c r="T102" s="416">
        <v>10.8</v>
      </c>
      <c r="U102" s="381">
        <f t="shared" si="10"/>
        <v>0.27750000000000002</v>
      </c>
      <c r="V102" s="351">
        <v>100</v>
      </c>
      <c r="W102" s="351">
        <v>100</v>
      </c>
      <c r="X102" s="420">
        <f t="shared" si="11"/>
        <v>10.522500000000001</v>
      </c>
    </row>
    <row r="103" spans="2:24" x14ac:dyDescent="0.2">
      <c r="B103" s="367" t="s">
        <v>224</v>
      </c>
      <c r="C103" s="369">
        <v>50400</v>
      </c>
      <c r="D103" s="369">
        <f t="shared" si="12"/>
        <v>25200</v>
      </c>
      <c r="E103" s="369">
        <v>75600</v>
      </c>
      <c r="F103" s="369" t="s">
        <v>195</v>
      </c>
      <c r="G103" s="369">
        <v>6700</v>
      </c>
      <c r="H103" s="369">
        <v>9900</v>
      </c>
      <c r="I103" s="369" t="s">
        <v>253</v>
      </c>
      <c r="J103" s="367">
        <v>0</v>
      </c>
      <c r="K103" s="369">
        <v>0</v>
      </c>
      <c r="L103" s="369" t="s">
        <v>195</v>
      </c>
      <c r="M103" s="369">
        <v>0</v>
      </c>
      <c r="N103" s="369">
        <v>0</v>
      </c>
      <c r="O103" s="417">
        <v>18.5</v>
      </c>
      <c r="P103" s="416">
        <f t="shared" si="8"/>
        <v>0.27750000000000002</v>
      </c>
      <c r="Q103" s="351">
        <v>100</v>
      </c>
      <c r="R103" s="351">
        <v>100</v>
      </c>
      <c r="S103" s="362">
        <f t="shared" si="9"/>
        <v>18.2225</v>
      </c>
      <c r="T103" s="417">
        <v>0</v>
      </c>
      <c r="U103" s="381">
        <f t="shared" si="10"/>
        <v>0.27750000000000002</v>
      </c>
      <c r="V103" s="351">
        <v>100</v>
      </c>
      <c r="W103" s="351">
        <v>100</v>
      </c>
      <c r="X103" s="420">
        <v>0</v>
      </c>
    </row>
    <row r="104" spans="2:24" x14ac:dyDescent="0.2">
      <c r="B104" s="367" t="s">
        <v>225</v>
      </c>
      <c r="C104" s="369">
        <v>42700</v>
      </c>
      <c r="D104" s="369">
        <f t="shared" si="12"/>
        <v>21300</v>
      </c>
      <c r="E104" s="369">
        <v>64000</v>
      </c>
      <c r="F104" s="369" t="s">
        <v>195</v>
      </c>
      <c r="G104" s="369">
        <v>6700</v>
      </c>
      <c r="H104" s="369">
        <v>9900</v>
      </c>
      <c r="I104" s="369">
        <v>38500</v>
      </c>
      <c r="J104" s="367">
        <f t="shared" si="13"/>
        <v>11500</v>
      </c>
      <c r="K104" s="369">
        <v>50000</v>
      </c>
      <c r="L104" s="369" t="s">
        <v>195</v>
      </c>
      <c r="M104" s="369">
        <v>6000</v>
      </c>
      <c r="N104" s="369">
        <v>7800</v>
      </c>
      <c r="O104" s="417">
        <v>10</v>
      </c>
      <c r="P104" s="416">
        <f t="shared" si="8"/>
        <v>0.27750000000000002</v>
      </c>
      <c r="Q104" s="351">
        <v>100</v>
      </c>
      <c r="R104" s="351">
        <v>100</v>
      </c>
      <c r="S104" s="362">
        <f t="shared" si="9"/>
        <v>9.7225000000000001</v>
      </c>
      <c r="T104" s="416">
        <v>10.8</v>
      </c>
      <c r="U104" s="381">
        <f t="shared" si="10"/>
        <v>0.27750000000000002</v>
      </c>
      <c r="V104" s="351">
        <v>100</v>
      </c>
      <c r="W104" s="351">
        <v>100</v>
      </c>
      <c r="X104" s="420">
        <f t="shared" si="11"/>
        <v>10.522500000000001</v>
      </c>
    </row>
    <row r="105" spans="2:24" x14ac:dyDescent="0.2">
      <c r="B105" s="367" t="s">
        <v>226</v>
      </c>
      <c r="C105" s="369">
        <v>42700</v>
      </c>
      <c r="D105" s="369">
        <f t="shared" si="12"/>
        <v>21300</v>
      </c>
      <c r="E105" s="369">
        <v>64000</v>
      </c>
      <c r="F105" s="369" t="s">
        <v>195</v>
      </c>
      <c r="G105" s="369">
        <v>6700</v>
      </c>
      <c r="H105" s="369">
        <v>9900</v>
      </c>
      <c r="I105" s="369" t="s">
        <v>253</v>
      </c>
      <c r="J105" s="367">
        <v>0</v>
      </c>
      <c r="K105" s="369">
        <v>0</v>
      </c>
      <c r="L105" s="369" t="s">
        <v>195</v>
      </c>
      <c r="M105" s="369">
        <v>0</v>
      </c>
      <c r="N105" s="369">
        <v>0</v>
      </c>
      <c r="O105" s="417">
        <v>10.5</v>
      </c>
      <c r="P105" s="416">
        <f t="shared" si="8"/>
        <v>0.27750000000000002</v>
      </c>
      <c r="Q105" s="351">
        <v>100</v>
      </c>
      <c r="R105" s="351">
        <v>100</v>
      </c>
      <c r="S105" s="362">
        <f t="shared" si="9"/>
        <v>10.2225</v>
      </c>
      <c r="T105" s="416">
        <v>0</v>
      </c>
      <c r="U105" s="381">
        <f t="shared" si="10"/>
        <v>0.27750000000000002</v>
      </c>
      <c r="V105" s="351">
        <v>100</v>
      </c>
      <c r="W105" s="351">
        <v>100</v>
      </c>
      <c r="X105" s="420">
        <v>0</v>
      </c>
    </row>
    <row r="106" spans="2:24" x14ac:dyDescent="0.2">
      <c r="B106" s="367" t="s">
        <v>227</v>
      </c>
      <c r="C106" s="369">
        <v>50400</v>
      </c>
      <c r="D106" s="369">
        <f t="shared" si="12"/>
        <v>25200</v>
      </c>
      <c r="E106" s="369">
        <v>75600</v>
      </c>
      <c r="F106" s="369" t="s">
        <v>195</v>
      </c>
      <c r="G106" s="369">
        <v>6700</v>
      </c>
      <c r="H106" s="369">
        <v>9900</v>
      </c>
      <c r="I106" s="369" t="s">
        <v>253</v>
      </c>
      <c r="J106" s="367">
        <v>0</v>
      </c>
      <c r="K106" s="369">
        <v>0</v>
      </c>
      <c r="L106" s="369" t="s">
        <v>195</v>
      </c>
      <c r="M106" s="369">
        <v>0</v>
      </c>
      <c r="N106" s="369">
        <v>0</v>
      </c>
      <c r="O106" s="417">
        <v>16.5</v>
      </c>
      <c r="P106" s="416">
        <f t="shared" si="8"/>
        <v>0.27750000000000002</v>
      </c>
      <c r="Q106" s="351">
        <v>100</v>
      </c>
      <c r="R106" s="351">
        <v>100</v>
      </c>
      <c r="S106" s="362">
        <f t="shared" si="9"/>
        <v>16.2225</v>
      </c>
      <c r="T106" s="416">
        <v>0</v>
      </c>
      <c r="U106" s="381">
        <f t="shared" si="10"/>
        <v>0.27750000000000002</v>
      </c>
      <c r="V106" s="351">
        <v>100</v>
      </c>
      <c r="W106" s="351">
        <v>100</v>
      </c>
      <c r="X106" s="420">
        <v>0</v>
      </c>
    </row>
    <row r="107" spans="2:24" x14ac:dyDescent="0.2">
      <c r="B107" s="367" t="s">
        <v>228</v>
      </c>
      <c r="C107" s="369">
        <v>67000</v>
      </c>
      <c r="D107" s="369">
        <f t="shared" si="12"/>
        <v>33500</v>
      </c>
      <c r="E107" s="369">
        <v>100500</v>
      </c>
      <c r="F107" s="369" t="s">
        <v>201</v>
      </c>
      <c r="G107" s="369">
        <v>6700</v>
      </c>
      <c r="H107" s="369">
        <v>9900</v>
      </c>
      <c r="I107" s="369" t="s">
        <v>253</v>
      </c>
      <c r="J107" s="367">
        <v>0</v>
      </c>
      <c r="K107" s="369">
        <v>0</v>
      </c>
      <c r="L107" s="369" t="s">
        <v>201</v>
      </c>
      <c r="M107" s="369">
        <v>0</v>
      </c>
      <c r="N107" s="369">
        <v>0</v>
      </c>
      <c r="O107" s="417">
        <v>13</v>
      </c>
      <c r="P107" s="416">
        <f t="shared" si="8"/>
        <v>0.27750000000000002</v>
      </c>
      <c r="Q107" s="351">
        <v>100</v>
      </c>
      <c r="R107" s="351">
        <v>100</v>
      </c>
      <c r="S107" s="362">
        <f t="shared" si="9"/>
        <v>12.7225</v>
      </c>
      <c r="T107" s="416">
        <v>0</v>
      </c>
      <c r="U107" s="381">
        <f t="shared" si="10"/>
        <v>0.27750000000000002</v>
      </c>
      <c r="V107" s="351">
        <v>100</v>
      </c>
      <c r="W107" s="351">
        <v>100</v>
      </c>
      <c r="X107" s="420">
        <v>0</v>
      </c>
    </row>
    <row r="108" spans="2:24" x14ac:dyDescent="0.2">
      <c r="B108" s="367" t="s">
        <v>229</v>
      </c>
      <c r="C108" s="369">
        <v>48600</v>
      </c>
      <c r="D108" s="369">
        <f t="shared" si="12"/>
        <v>24200</v>
      </c>
      <c r="E108" s="369">
        <v>72800</v>
      </c>
      <c r="F108" s="369" t="s">
        <v>195</v>
      </c>
      <c r="G108" s="369">
        <v>6700</v>
      </c>
      <c r="H108" s="369">
        <v>9900</v>
      </c>
      <c r="I108" s="369">
        <v>39500</v>
      </c>
      <c r="J108" s="367">
        <f t="shared" si="13"/>
        <v>11900</v>
      </c>
      <c r="K108" s="369">
        <v>51400</v>
      </c>
      <c r="L108" s="369" t="s">
        <v>195</v>
      </c>
      <c r="M108" s="369">
        <v>6000</v>
      </c>
      <c r="N108" s="369">
        <v>7800</v>
      </c>
      <c r="O108" s="417">
        <v>13</v>
      </c>
      <c r="P108" s="416">
        <f t="shared" si="8"/>
        <v>0.27750000000000002</v>
      </c>
      <c r="Q108" s="351">
        <v>100</v>
      </c>
      <c r="R108" s="351">
        <v>100</v>
      </c>
      <c r="S108" s="362">
        <f t="shared" si="9"/>
        <v>12.7225</v>
      </c>
      <c r="T108" s="416">
        <v>15</v>
      </c>
      <c r="U108" s="381">
        <f t="shared" si="10"/>
        <v>0.27750000000000002</v>
      </c>
      <c r="V108" s="351">
        <v>100</v>
      </c>
      <c r="W108" s="351">
        <v>100</v>
      </c>
      <c r="X108" s="420">
        <f t="shared" si="11"/>
        <v>14.7225</v>
      </c>
    </row>
    <row r="109" spans="2:24" x14ac:dyDescent="0.2">
      <c r="B109" s="386" t="s">
        <v>89</v>
      </c>
      <c r="C109" s="369">
        <v>55100</v>
      </c>
      <c r="D109" s="369">
        <f t="shared" si="12"/>
        <v>27600</v>
      </c>
      <c r="E109" s="369">
        <v>82700</v>
      </c>
      <c r="F109" s="369" t="s">
        <v>187</v>
      </c>
      <c r="G109" s="369">
        <v>6700</v>
      </c>
      <c r="H109" s="369">
        <v>9900</v>
      </c>
      <c r="I109" s="386" t="s">
        <v>253</v>
      </c>
      <c r="J109" s="369">
        <v>0</v>
      </c>
      <c r="K109" s="369">
        <v>0</v>
      </c>
      <c r="L109" s="369" t="s">
        <v>187</v>
      </c>
      <c r="M109" s="369">
        <v>0</v>
      </c>
      <c r="N109" s="369">
        <v>0</v>
      </c>
      <c r="O109" s="416">
        <v>9</v>
      </c>
      <c r="P109" s="416">
        <f>Q109*R109*15*1850/1000000000</f>
        <v>5.6609999999999996</v>
      </c>
      <c r="Q109" s="351">
        <v>600</v>
      </c>
      <c r="R109" s="351">
        <v>340</v>
      </c>
      <c r="S109" s="362">
        <f>O109-P109</f>
        <v>3.3390000000000004</v>
      </c>
      <c r="T109" s="381">
        <v>0</v>
      </c>
      <c r="U109" s="381">
        <f t="shared" si="10"/>
        <v>0</v>
      </c>
      <c r="V109" s="351">
        <v>0</v>
      </c>
      <c r="W109" s="351">
        <v>0</v>
      </c>
      <c r="X109" s="420">
        <f t="shared" si="11"/>
        <v>0</v>
      </c>
    </row>
    <row r="110" spans="2:24" x14ac:dyDescent="0.2">
      <c r="B110" s="386" t="s">
        <v>90</v>
      </c>
      <c r="C110" s="369">
        <v>41200</v>
      </c>
      <c r="D110" s="369">
        <f t="shared" si="12"/>
        <v>20600</v>
      </c>
      <c r="E110" s="369">
        <v>61800</v>
      </c>
      <c r="F110" s="369" t="s">
        <v>187</v>
      </c>
      <c r="G110" s="369">
        <v>6700</v>
      </c>
      <c r="H110" s="369">
        <v>9900</v>
      </c>
      <c r="I110" s="366">
        <v>37100</v>
      </c>
      <c r="J110" s="367">
        <f t="shared" si="13"/>
        <v>11200</v>
      </c>
      <c r="K110" s="369">
        <v>48300</v>
      </c>
      <c r="L110" s="369" t="s">
        <v>187</v>
      </c>
      <c r="M110" s="369">
        <v>6000</v>
      </c>
      <c r="N110" s="369">
        <v>7800</v>
      </c>
      <c r="O110" s="416">
        <v>8</v>
      </c>
      <c r="P110" s="416">
        <f t="shared" ref="P110:P112" si="14">Q110*R110*15*1850/1000000000</f>
        <v>5.6609999999999996</v>
      </c>
      <c r="Q110" s="351">
        <v>600</v>
      </c>
      <c r="R110" s="351">
        <v>340</v>
      </c>
      <c r="S110" s="362">
        <f t="shared" ref="S110:S112" si="15">O110-P110</f>
        <v>2.3390000000000004</v>
      </c>
      <c r="T110" s="381">
        <v>8.6</v>
      </c>
      <c r="U110" s="381">
        <f>V110*W110*15*1850/1000000000</f>
        <v>5.6609999999999996</v>
      </c>
      <c r="V110" s="351">
        <v>600</v>
      </c>
      <c r="W110" s="351">
        <v>340</v>
      </c>
      <c r="X110" s="420">
        <f t="shared" ref="X110:X112" si="16">T110-U110</f>
        <v>2.9390000000000001</v>
      </c>
    </row>
    <row r="111" spans="2:24" x14ac:dyDescent="0.2">
      <c r="B111" s="386" t="s">
        <v>91</v>
      </c>
      <c r="C111" s="369">
        <v>41200</v>
      </c>
      <c r="D111" s="369">
        <f t="shared" si="12"/>
        <v>20600</v>
      </c>
      <c r="E111" s="369">
        <v>61800</v>
      </c>
      <c r="F111" s="369" t="s">
        <v>187</v>
      </c>
      <c r="G111" s="369">
        <v>6700</v>
      </c>
      <c r="H111" s="369">
        <v>9900</v>
      </c>
      <c r="I111" s="366">
        <v>37100</v>
      </c>
      <c r="J111" s="367">
        <f t="shared" si="13"/>
        <v>11200</v>
      </c>
      <c r="K111" s="369">
        <v>48300</v>
      </c>
      <c r="L111" s="369" t="s">
        <v>187</v>
      </c>
      <c r="M111" s="369">
        <v>6000</v>
      </c>
      <c r="N111" s="369">
        <v>7800</v>
      </c>
      <c r="O111" s="416">
        <v>7.5</v>
      </c>
      <c r="P111" s="416">
        <f t="shared" si="14"/>
        <v>4.9533750000000003</v>
      </c>
      <c r="Q111" s="351">
        <v>510</v>
      </c>
      <c r="R111" s="351">
        <v>350</v>
      </c>
      <c r="S111" s="362">
        <f t="shared" si="15"/>
        <v>2.5466249999999997</v>
      </c>
      <c r="T111" s="381">
        <v>8.1</v>
      </c>
      <c r="U111" s="381">
        <f>V111*W111*15*1850/1000000000</f>
        <v>4.9533750000000003</v>
      </c>
      <c r="V111" s="351">
        <v>510</v>
      </c>
      <c r="W111" s="351">
        <v>350</v>
      </c>
      <c r="X111" s="420">
        <f t="shared" si="16"/>
        <v>3.1466249999999993</v>
      </c>
    </row>
    <row r="112" spans="2:24" s="370" customFormat="1" x14ac:dyDescent="0.2">
      <c r="B112" s="386" t="s">
        <v>92</v>
      </c>
      <c r="C112" s="369">
        <v>35900</v>
      </c>
      <c r="D112" s="369">
        <f t="shared" si="12"/>
        <v>18000</v>
      </c>
      <c r="E112" s="369">
        <v>53900</v>
      </c>
      <c r="F112" s="369" t="s">
        <v>187</v>
      </c>
      <c r="G112" s="369">
        <v>6700</v>
      </c>
      <c r="H112" s="369">
        <v>9900</v>
      </c>
      <c r="I112" s="386" t="s">
        <v>253</v>
      </c>
      <c r="J112" s="369">
        <v>0</v>
      </c>
      <c r="K112" s="369">
        <v>0</v>
      </c>
      <c r="L112" s="369" t="s">
        <v>187</v>
      </c>
      <c r="M112" s="369">
        <v>0</v>
      </c>
      <c r="N112" s="369">
        <v>0</v>
      </c>
      <c r="O112" s="418">
        <v>5.5</v>
      </c>
      <c r="P112" s="418">
        <f t="shared" si="14"/>
        <v>4.77924375</v>
      </c>
      <c r="Q112" s="370">
        <v>415</v>
      </c>
      <c r="R112" s="370">
        <v>415</v>
      </c>
      <c r="S112" s="414">
        <f t="shared" si="15"/>
        <v>0.72075624999999999</v>
      </c>
      <c r="T112" s="415">
        <v>0</v>
      </c>
      <c r="U112" s="415">
        <f t="shared" ref="U112" si="17">V112*W112*15*1985/1000000000</f>
        <v>0</v>
      </c>
      <c r="V112" s="370">
        <v>0</v>
      </c>
      <c r="W112" s="370">
        <v>0</v>
      </c>
      <c r="X112" s="421">
        <f t="shared" si="16"/>
        <v>0</v>
      </c>
    </row>
    <row r="113" spans="2:24" x14ac:dyDescent="0.2">
      <c r="B113" s="367" t="s">
        <v>24</v>
      </c>
      <c r="C113" s="367">
        <v>0</v>
      </c>
      <c r="D113" s="367">
        <f t="shared" si="12"/>
        <v>0</v>
      </c>
      <c r="E113" s="367">
        <v>0</v>
      </c>
      <c r="F113" s="367"/>
      <c r="G113" s="367">
        <v>0</v>
      </c>
      <c r="H113" s="367">
        <v>0</v>
      </c>
      <c r="J113" s="367">
        <f t="shared" si="13"/>
        <v>0</v>
      </c>
      <c r="K113" s="351">
        <v>0</v>
      </c>
      <c r="L113" s="367"/>
      <c r="M113" s="367">
        <v>0</v>
      </c>
      <c r="N113" s="367">
        <v>0</v>
      </c>
      <c r="O113" s="367">
        <v>0</v>
      </c>
      <c r="P113" s="367">
        <v>0</v>
      </c>
      <c r="Q113" s="367">
        <v>0</v>
      </c>
      <c r="R113" s="367">
        <v>0</v>
      </c>
      <c r="S113" s="419">
        <v>0</v>
      </c>
      <c r="T113" s="367">
        <v>0</v>
      </c>
      <c r="U113" s="367">
        <v>0</v>
      </c>
      <c r="V113" s="367">
        <v>0</v>
      </c>
      <c r="W113" s="367">
        <v>0</v>
      </c>
      <c r="X113" s="419">
        <v>0</v>
      </c>
    </row>
    <row r="114" spans="2:24" x14ac:dyDescent="0.2">
      <c r="B114" s="367"/>
      <c r="C114" s="367"/>
      <c r="D114" s="367"/>
      <c r="E114" s="367"/>
      <c r="F114" s="367"/>
    </row>
    <row r="115" spans="2:24" x14ac:dyDescent="0.2">
      <c r="B115" s="367"/>
      <c r="C115" s="367"/>
      <c r="D115" s="367"/>
      <c r="E115" s="367"/>
      <c r="F115" s="367"/>
    </row>
    <row r="116" spans="2:24" x14ac:dyDescent="0.2">
      <c r="B116" s="367"/>
      <c r="C116" s="367"/>
      <c r="D116" s="367"/>
      <c r="E116" s="367"/>
      <c r="F116" s="367"/>
    </row>
    <row r="117" spans="2:24" x14ac:dyDescent="0.2">
      <c r="B117" s="367"/>
      <c r="C117" s="367"/>
      <c r="D117" s="367"/>
      <c r="E117" s="367"/>
      <c r="F117" s="367"/>
    </row>
    <row r="118" spans="2:24" x14ac:dyDescent="0.2">
      <c r="B118" s="367"/>
      <c r="C118" s="367"/>
      <c r="D118" s="367"/>
      <c r="E118" s="367"/>
      <c r="F118" s="367"/>
    </row>
    <row r="119" spans="2:24" x14ac:dyDescent="0.2">
      <c r="B119" s="367"/>
      <c r="C119" s="367"/>
      <c r="D119" s="367"/>
      <c r="E119" s="367"/>
      <c r="F119" s="367"/>
    </row>
    <row r="120" spans="2:24" x14ac:dyDescent="0.2">
      <c r="B120" s="367"/>
      <c r="C120" s="367"/>
      <c r="D120" s="367"/>
      <c r="E120" s="367"/>
      <c r="F120" s="367"/>
    </row>
    <row r="121" spans="2:24" x14ac:dyDescent="0.2">
      <c r="B121" s="367"/>
      <c r="C121" s="367"/>
      <c r="D121" s="367"/>
      <c r="E121" s="367"/>
      <c r="F121" s="367"/>
    </row>
    <row r="122" spans="2:24" x14ac:dyDescent="0.2">
      <c r="B122" s="367"/>
      <c r="C122" s="367"/>
      <c r="D122" s="367"/>
      <c r="E122" s="367"/>
      <c r="F122" s="367"/>
    </row>
    <row r="123" spans="2:24" x14ac:dyDescent="0.2">
      <c r="B123" s="367"/>
      <c r="C123" s="367"/>
      <c r="D123" s="367"/>
      <c r="E123" s="367"/>
    </row>
    <row r="124" spans="2:24" x14ac:dyDescent="0.2">
      <c r="B124" s="367"/>
      <c r="C124" s="367"/>
      <c r="D124" s="367"/>
      <c r="E124" s="367"/>
    </row>
    <row r="125" spans="2:24" x14ac:dyDescent="0.2">
      <c r="B125" s="367"/>
      <c r="C125" s="367"/>
      <c r="D125" s="367"/>
      <c r="E125" s="367"/>
    </row>
    <row r="126" spans="2:24" x14ac:dyDescent="0.2">
      <c r="B126" s="367"/>
      <c r="C126" s="367"/>
      <c r="D126" s="367"/>
      <c r="E126" s="367"/>
    </row>
    <row r="127" spans="2:24" x14ac:dyDescent="0.2">
      <c r="B127" s="367"/>
      <c r="C127" s="367"/>
      <c r="D127" s="367"/>
      <c r="E127" s="367"/>
    </row>
    <row r="128" spans="2:24" x14ac:dyDescent="0.2">
      <c r="B128" s="367"/>
      <c r="C128" s="367"/>
      <c r="D128" s="367"/>
      <c r="E128" s="367"/>
    </row>
    <row r="129" spans="2:5" x14ac:dyDescent="0.2">
      <c r="B129" s="367"/>
      <c r="C129" s="367"/>
      <c r="D129" s="367"/>
      <c r="E129" s="367"/>
    </row>
    <row r="130" spans="2:5" x14ac:dyDescent="0.2">
      <c r="B130" s="367"/>
      <c r="C130" s="367"/>
      <c r="D130" s="367"/>
      <c r="E130" s="367"/>
    </row>
    <row r="131" spans="2:5" x14ac:dyDescent="0.2">
      <c r="B131" s="367"/>
      <c r="C131" s="367"/>
      <c r="D131" s="367"/>
      <c r="E131" s="367"/>
    </row>
    <row r="132" spans="2:5" x14ac:dyDescent="0.2">
      <c r="B132" s="367"/>
      <c r="C132" s="367"/>
      <c r="D132" s="367"/>
      <c r="E132" s="367"/>
    </row>
    <row r="133" spans="2:5" x14ac:dyDescent="0.2">
      <c r="B133" s="367"/>
      <c r="C133" s="367"/>
      <c r="D133" s="367"/>
      <c r="E133" s="367"/>
    </row>
    <row r="134" spans="2:5" x14ac:dyDescent="0.2">
      <c r="B134" s="367"/>
      <c r="C134" s="367"/>
      <c r="D134" s="367"/>
      <c r="E134" s="367"/>
    </row>
    <row r="135" spans="2:5" x14ac:dyDescent="0.2">
      <c r="B135" s="367"/>
      <c r="C135" s="367"/>
      <c r="D135" s="367"/>
      <c r="E135" s="367"/>
    </row>
    <row r="136" spans="2:5" x14ac:dyDescent="0.2">
      <c r="B136" s="367"/>
      <c r="C136" s="367"/>
      <c r="D136" s="367"/>
      <c r="E136" s="367"/>
    </row>
    <row r="137" spans="2:5" x14ac:dyDescent="0.2">
      <c r="B137" s="367"/>
      <c r="C137" s="367"/>
      <c r="D137" s="367"/>
      <c r="E137" s="367"/>
    </row>
    <row r="138" spans="2:5" x14ac:dyDescent="0.2">
      <c r="B138" s="367"/>
      <c r="C138" s="367"/>
      <c r="D138" s="367"/>
      <c r="E138" s="367"/>
    </row>
    <row r="139" spans="2:5" x14ac:dyDescent="0.2">
      <c r="B139" s="367"/>
      <c r="C139" s="367"/>
      <c r="D139" s="367"/>
      <c r="E139" s="367"/>
    </row>
    <row r="140" spans="2:5" x14ac:dyDescent="0.2">
      <c r="B140" s="367"/>
      <c r="C140" s="367"/>
      <c r="D140" s="367"/>
      <c r="E140" s="367"/>
    </row>
    <row r="141" spans="2:5" x14ac:dyDescent="0.2">
      <c r="B141" s="367"/>
      <c r="C141" s="367"/>
      <c r="D141" s="367"/>
      <c r="E141" s="367"/>
    </row>
    <row r="142" spans="2:5" x14ac:dyDescent="0.2">
      <c r="B142" s="367"/>
      <c r="C142" s="367"/>
      <c r="D142" s="367"/>
      <c r="E142" s="367"/>
    </row>
    <row r="143" spans="2:5" x14ac:dyDescent="0.2">
      <c r="B143" s="367"/>
      <c r="C143" s="367"/>
      <c r="D143" s="367"/>
      <c r="E143" s="367"/>
    </row>
    <row r="144" spans="2:5" x14ac:dyDescent="0.2">
      <c r="B144" s="367"/>
      <c r="C144" s="367"/>
      <c r="D144" s="367"/>
      <c r="E144" s="367"/>
    </row>
    <row r="145" spans="2:5" x14ac:dyDescent="0.2">
      <c r="B145" s="367"/>
      <c r="C145" s="367"/>
      <c r="D145" s="367"/>
      <c r="E145" s="367"/>
    </row>
    <row r="146" spans="2:5" x14ac:dyDescent="0.2">
      <c r="B146" s="367"/>
      <c r="C146" s="367"/>
      <c r="D146" s="367"/>
      <c r="E146" s="367"/>
    </row>
    <row r="147" spans="2:5" x14ac:dyDescent="0.2">
      <c r="B147" s="367"/>
      <c r="C147" s="367"/>
      <c r="D147" s="367"/>
      <c r="E147" s="367"/>
    </row>
    <row r="148" spans="2:5" x14ac:dyDescent="0.2">
      <c r="B148" s="367"/>
      <c r="C148" s="367"/>
      <c r="D148" s="367"/>
      <c r="E148" s="367"/>
    </row>
    <row r="149" spans="2:5" x14ac:dyDescent="0.2">
      <c r="B149" s="367"/>
      <c r="C149" s="367"/>
      <c r="D149" s="367"/>
      <c r="E149" s="367"/>
    </row>
    <row r="150" spans="2:5" x14ac:dyDescent="0.2">
      <c r="B150" s="367"/>
      <c r="C150" s="367"/>
      <c r="D150" s="367"/>
      <c r="E150" s="367"/>
    </row>
    <row r="151" spans="2:5" x14ac:dyDescent="0.2">
      <c r="B151" s="367"/>
      <c r="C151" s="367"/>
      <c r="D151" s="367"/>
      <c r="E151" s="367"/>
    </row>
    <row r="152" spans="2:5" x14ac:dyDescent="0.2">
      <c r="B152" s="367"/>
      <c r="C152" s="367"/>
      <c r="D152" s="367"/>
      <c r="E152" s="367"/>
    </row>
    <row r="153" spans="2:5" x14ac:dyDescent="0.2">
      <c r="B153" s="367"/>
      <c r="C153" s="367"/>
      <c r="D153" s="367"/>
      <c r="E153" s="367"/>
    </row>
    <row r="154" spans="2:5" x14ac:dyDescent="0.2">
      <c r="B154" s="367"/>
      <c r="C154" s="367"/>
      <c r="D154" s="367"/>
      <c r="E154" s="367"/>
    </row>
    <row r="155" spans="2:5" x14ac:dyDescent="0.2">
      <c r="B155" s="367"/>
      <c r="C155" s="367"/>
      <c r="D155" s="367"/>
      <c r="E155" s="367"/>
    </row>
    <row r="156" spans="2:5" x14ac:dyDescent="0.2">
      <c r="B156" s="367"/>
      <c r="C156" s="367"/>
      <c r="D156" s="367"/>
      <c r="E156" s="367"/>
    </row>
    <row r="157" spans="2:5" x14ac:dyDescent="0.2">
      <c r="B157" s="367"/>
      <c r="C157" s="367"/>
      <c r="D157" s="367"/>
      <c r="E157" s="367"/>
    </row>
    <row r="158" spans="2:5" x14ac:dyDescent="0.2">
      <c r="B158" s="367"/>
      <c r="C158" s="367"/>
      <c r="D158" s="367"/>
      <c r="E158" s="367"/>
    </row>
    <row r="159" spans="2:5" x14ac:dyDescent="0.2">
      <c r="B159" s="367"/>
      <c r="C159" s="367"/>
      <c r="D159" s="367"/>
      <c r="E159" s="367"/>
    </row>
    <row r="160" spans="2:5" x14ac:dyDescent="0.2">
      <c r="B160" s="367"/>
      <c r="C160" s="367"/>
      <c r="D160" s="367"/>
      <c r="E160" s="367"/>
    </row>
    <row r="161" spans="2:5" x14ac:dyDescent="0.2">
      <c r="B161" s="367"/>
      <c r="C161" s="367"/>
      <c r="D161" s="367"/>
      <c r="E161" s="367"/>
    </row>
    <row r="162" spans="2:5" x14ac:dyDescent="0.2">
      <c r="B162" s="367"/>
      <c r="C162" s="367"/>
      <c r="D162" s="367"/>
      <c r="E162" s="367"/>
    </row>
    <row r="163" spans="2:5" x14ac:dyDescent="0.2">
      <c r="B163" s="367"/>
      <c r="C163" s="367"/>
      <c r="D163" s="367"/>
      <c r="E163" s="367"/>
    </row>
    <row r="164" spans="2:5" x14ac:dyDescent="0.2">
      <c r="B164" s="367"/>
      <c r="C164" s="367"/>
      <c r="D164" s="367"/>
      <c r="E164" s="367"/>
    </row>
    <row r="165" spans="2:5" x14ac:dyDescent="0.2">
      <c r="B165" s="367"/>
      <c r="C165" s="367"/>
      <c r="D165" s="367"/>
      <c r="E165" s="367"/>
    </row>
    <row r="166" spans="2:5" x14ac:dyDescent="0.2">
      <c r="B166" s="367"/>
      <c r="C166" s="367"/>
      <c r="D166" s="367"/>
      <c r="E166" s="367"/>
    </row>
    <row r="167" spans="2:5" x14ac:dyDescent="0.2">
      <c r="B167" s="367"/>
      <c r="C167" s="367"/>
      <c r="D167" s="367"/>
      <c r="E167" s="367"/>
    </row>
    <row r="168" spans="2:5" x14ac:dyDescent="0.2">
      <c r="B168" s="367"/>
      <c r="C168" s="367"/>
      <c r="D168" s="367"/>
      <c r="E168" s="367"/>
    </row>
    <row r="169" spans="2:5" x14ac:dyDescent="0.2">
      <c r="B169" s="367"/>
      <c r="C169" s="367"/>
      <c r="D169" s="367"/>
      <c r="E169" s="367"/>
    </row>
    <row r="170" spans="2:5" x14ac:dyDescent="0.2">
      <c r="B170" s="367"/>
      <c r="C170" s="367"/>
      <c r="D170" s="367"/>
      <c r="E170" s="367"/>
    </row>
    <row r="171" spans="2:5" x14ac:dyDescent="0.2">
      <c r="B171" s="367"/>
      <c r="C171" s="367"/>
      <c r="D171" s="367"/>
      <c r="E171" s="367"/>
    </row>
    <row r="172" spans="2:5" x14ac:dyDescent="0.2">
      <c r="B172" s="367"/>
      <c r="C172" s="367"/>
      <c r="D172" s="367"/>
      <c r="E172" s="367"/>
    </row>
    <row r="173" spans="2:5" x14ac:dyDescent="0.2">
      <c r="B173" s="367"/>
      <c r="C173" s="367"/>
      <c r="D173" s="367"/>
      <c r="E173" s="367"/>
    </row>
    <row r="174" spans="2:5" x14ac:dyDescent="0.2">
      <c r="B174" s="367"/>
      <c r="C174" s="367"/>
      <c r="D174" s="367"/>
      <c r="E174" s="367"/>
    </row>
    <row r="175" spans="2:5" x14ac:dyDescent="0.2">
      <c r="B175" s="367"/>
      <c r="C175" s="367"/>
      <c r="D175" s="367"/>
      <c r="E175" s="367"/>
    </row>
    <row r="176" spans="2:5" x14ac:dyDescent="0.2">
      <c r="B176" s="367"/>
      <c r="C176" s="367"/>
      <c r="D176" s="367"/>
      <c r="E176" s="367"/>
    </row>
    <row r="177" spans="2:4" x14ac:dyDescent="0.2">
      <c r="B177" s="367"/>
      <c r="C177" s="367"/>
      <c r="D177" s="367"/>
    </row>
    <row r="178" spans="2:4" x14ac:dyDescent="0.2">
      <c r="B178" s="367"/>
      <c r="C178" s="367"/>
      <c r="D178" s="367"/>
    </row>
    <row r="179" spans="2:4" x14ac:dyDescent="0.2">
      <c r="B179" s="367"/>
      <c r="C179" s="367"/>
      <c r="D179" s="367"/>
    </row>
    <row r="180" spans="2:4" x14ac:dyDescent="0.2">
      <c r="B180" s="367"/>
      <c r="C180" s="367"/>
      <c r="D180" s="367"/>
    </row>
    <row r="181" spans="2:4" x14ac:dyDescent="0.2">
      <c r="B181" s="367"/>
      <c r="C181" s="367"/>
      <c r="D181" s="367"/>
    </row>
    <row r="182" spans="2:4" x14ac:dyDescent="0.2">
      <c r="B182" s="367"/>
      <c r="C182" s="367"/>
      <c r="D182" s="367"/>
    </row>
    <row r="183" spans="2:4" x14ac:dyDescent="0.2">
      <c r="B183" s="367"/>
      <c r="C183" s="367"/>
      <c r="D183" s="367"/>
    </row>
    <row r="184" spans="2:4" x14ac:dyDescent="0.2">
      <c r="B184" s="367"/>
      <c r="C184" s="367"/>
      <c r="D184" s="367"/>
    </row>
    <row r="185" spans="2:4" x14ac:dyDescent="0.2">
      <c r="B185" s="367"/>
      <c r="C185" s="367"/>
      <c r="D185" s="367"/>
    </row>
    <row r="186" spans="2:4" x14ac:dyDescent="0.2">
      <c r="B186" s="367"/>
      <c r="C186" s="367"/>
      <c r="D186" s="367"/>
    </row>
    <row r="187" spans="2:4" x14ac:dyDescent="0.2">
      <c r="B187" s="367"/>
      <c r="C187" s="367"/>
      <c r="D187" s="367"/>
    </row>
    <row r="188" spans="2:4" x14ac:dyDescent="0.2">
      <c r="B188" s="367"/>
      <c r="C188" s="367"/>
      <c r="D188" s="367"/>
    </row>
    <row r="189" spans="2:4" x14ac:dyDescent="0.2">
      <c r="B189" s="367"/>
      <c r="C189" s="367"/>
      <c r="D189" s="367"/>
    </row>
    <row r="190" spans="2:4" x14ac:dyDescent="0.2">
      <c r="B190" s="367"/>
      <c r="C190" s="367"/>
      <c r="D190" s="367"/>
    </row>
    <row r="191" spans="2:4" x14ac:dyDescent="0.2">
      <c r="B191" s="367"/>
      <c r="C191" s="367"/>
      <c r="D191" s="367"/>
    </row>
    <row r="192" spans="2:4" x14ac:dyDescent="0.2">
      <c r="B192" s="367"/>
      <c r="C192" s="367"/>
      <c r="D192" s="367"/>
    </row>
    <row r="193" spans="2:4" x14ac:dyDescent="0.2">
      <c r="B193" s="367"/>
      <c r="C193" s="367"/>
      <c r="D193" s="367"/>
    </row>
    <row r="194" spans="2:4" x14ac:dyDescent="0.2">
      <c r="B194" s="367"/>
      <c r="C194" s="367"/>
      <c r="D194" s="367"/>
    </row>
    <row r="195" spans="2:4" x14ac:dyDescent="0.2">
      <c r="B195" s="367"/>
      <c r="C195" s="367"/>
      <c r="D195" s="367"/>
    </row>
    <row r="196" spans="2:4" x14ac:dyDescent="0.2">
      <c r="B196" s="367"/>
      <c r="C196" s="367"/>
      <c r="D196" s="367"/>
    </row>
    <row r="197" spans="2:4" x14ac:dyDescent="0.2">
      <c r="B197" s="367"/>
      <c r="C197" s="367"/>
      <c r="D197" s="367"/>
    </row>
    <row r="198" spans="2:4" x14ac:dyDescent="0.2">
      <c r="B198" s="367"/>
      <c r="C198" s="367"/>
      <c r="D198" s="367"/>
    </row>
    <row r="199" spans="2:4" x14ac:dyDescent="0.2">
      <c r="B199" s="367"/>
      <c r="C199" s="367"/>
      <c r="D199" s="367"/>
    </row>
    <row r="200" spans="2:4" x14ac:dyDescent="0.2">
      <c r="B200" s="367"/>
      <c r="C200" s="367"/>
      <c r="D200" s="367"/>
    </row>
    <row r="201" spans="2:4" x14ac:dyDescent="0.2">
      <c r="B201" s="367"/>
      <c r="C201" s="367"/>
      <c r="D201" s="367"/>
    </row>
    <row r="202" spans="2:4" x14ac:dyDescent="0.2">
      <c r="B202" s="367"/>
      <c r="C202" s="367"/>
    </row>
    <row r="203" spans="2:4" x14ac:dyDescent="0.2">
      <c r="B203" s="367"/>
      <c r="C203" s="367"/>
    </row>
    <row r="204" spans="2:4" x14ac:dyDescent="0.2">
      <c r="B204" s="367"/>
      <c r="C204" s="367"/>
    </row>
    <row r="205" spans="2:4" x14ac:dyDescent="0.2">
      <c r="B205" s="367"/>
      <c r="C205" s="367"/>
    </row>
    <row r="206" spans="2:4" x14ac:dyDescent="0.2">
      <c r="B206" s="367"/>
      <c r="C206" s="367"/>
    </row>
    <row r="207" spans="2:4" x14ac:dyDescent="0.2">
      <c r="B207" s="367"/>
      <c r="C207" s="367"/>
    </row>
  </sheetData>
  <mergeCells count="2">
    <mergeCell ref="O71:S71"/>
    <mergeCell ref="T71:X71"/>
  </mergeCells>
  <pageMargins left="0.7" right="0.7" top="0.75" bottom="0.75" header="0.3" footer="0.3"/>
  <ignoredErrors>
    <ignoredError sqref="Q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CD81-A90C-431E-8B98-798561576963}">
  <sheetPr>
    <tabColor theme="7"/>
  </sheetPr>
  <dimension ref="A1:U95"/>
  <sheetViews>
    <sheetView zoomScale="80" zoomScaleNormal="80" zoomScaleSheetLayoutView="81" zoomScalePageLayoutView="82" workbookViewId="0">
      <selection activeCell="U32" sqref="U32"/>
    </sheetView>
  </sheetViews>
  <sheetFormatPr defaultColWidth="8.85546875" defaultRowHeight="15" x14ac:dyDescent="0.25"/>
  <cols>
    <col min="1" max="1" width="0.7109375" style="1" customWidth="1"/>
    <col min="2" max="2" width="21.28515625" style="61" customWidth="1"/>
    <col min="3" max="3" width="22.42578125" style="61" customWidth="1"/>
    <col min="4" max="4" width="17.7109375" style="61" customWidth="1"/>
    <col min="5" max="5" width="1.5703125" style="61" hidden="1" customWidth="1"/>
    <col min="6" max="6" width="1.5703125" style="61" customWidth="1"/>
    <col min="7" max="7" width="20.7109375" style="61" customWidth="1"/>
    <col min="8" max="8" width="23" style="61" customWidth="1"/>
    <col min="9" max="9" width="18.28515625" style="61" customWidth="1"/>
    <col min="10" max="10" width="21.5703125" style="61" customWidth="1"/>
    <col min="11" max="11" width="20" style="61" customWidth="1"/>
    <col min="12" max="12" width="18.5703125" style="61" customWidth="1"/>
    <col min="13" max="13" width="19.7109375" style="61" customWidth="1"/>
    <col min="14" max="14" width="17.7109375" style="61" customWidth="1"/>
    <col min="15" max="15" width="17" style="61" customWidth="1"/>
    <col min="16" max="16" width="4.5703125" style="61" customWidth="1"/>
    <col min="17" max="17" width="8.85546875" style="61"/>
    <col min="18" max="18" width="14" style="61" customWidth="1"/>
    <col min="19" max="19" width="14.28515625" style="61" customWidth="1"/>
    <col min="20" max="20" width="8.85546875" style="61"/>
    <col min="21" max="21" width="9.7109375" style="61" customWidth="1"/>
    <col min="22" max="16384" width="8.85546875" style="61"/>
  </cols>
  <sheetData>
    <row r="1" spans="1:21" ht="16.5" thickBot="1" x14ac:dyDescent="0.3">
      <c r="B1" s="710" t="s">
        <v>35</v>
      </c>
      <c r="C1" s="710"/>
      <c r="D1" s="710"/>
      <c r="E1" s="710"/>
      <c r="F1" s="710"/>
      <c r="G1" s="710"/>
      <c r="H1" s="710"/>
      <c r="I1" s="710"/>
      <c r="J1" s="548" t="s">
        <v>120</v>
      </c>
      <c r="K1" s="548"/>
      <c r="L1" s="548"/>
      <c r="M1" s="548"/>
      <c r="N1" s="548"/>
      <c r="O1" s="548"/>
      <c r="P1" s="579"/>
    </row>
    <row r="2" spans="1:21" ht="16.5" thickBot="1" x14ac:dyDescent="0.3">
      <c r="B2" s="329" t="s">
        <v>310</v>
      </c>
      <c r="C2" s="330" t="s">
        <v>247</v>
      </c>
      <c r="D2" s="317"/>
      <c r="E2" s="317"/>
      <c r="F2" s="317"/>
      <c r="G2" s="317"/>
      <c r="H2" s="317"/>
      <c r="I2" s="318"/>
      <c r="J2" s="319"/>
      <c r="K2" s="320"/>
      <c r="L2" s="320"/>
      <c r="M2" s="320"/>
      <c r="N2" s="320"/>
      <c r="O2" s="320"/>
      <c r="P2" s="321"/>
    </row>
    <row r="3" spans="1:21" ht="15.75" thickBot="1" x14ac:dyDescent="0.3">
      <c r="B3" s="326" t="s">
        <v>1</v>
      </c>
      <c r="C3" s="327" t="e">
        <f>IF((C2="S-Stone"),SUM((C4/1000*C5/1000*15/1000*1985),J51,K51,L51,M51,E10,E15,E20,I68,I69,I70),IF((C2="S-Sense"),SUM((C4/1000*C5/1000*15/1000*1985),(C4/1000*C5/1000*1/1000*2000*2),J51,K51,L51,M51,E10,E15,E20,I68,I69,I70),0))</f>
        <v>#REF!</v>
      </c>
      <c r="D3" s="312" t="s">
        <v>16</v>
      </c>
      <c r="E3" s="151"/>
      <c r="F3" s="88"/>
      <c r="G3" s="322" t="s">
        <v>311</v>
      </c>
      <c r="H3" s="5"/>
      <c r="I3" s="168"/>
      <c r="J3" s="549" t="s">
        <v>38</v>
      </c>
      <c r="K3" s="550"/>
      <c r="L3" s="550"/>
      <c r="M3" s="97"/>
      <c r="N3" s="98"/>
      <c r="O3" s="98"/>
      <c r="P3" s="77"/>
      <c r="R3" s="328" t="s">
        <v>247</v>
      </c>
      <c r="S3" s="61" t="e">
        <f>(C4/1000*C5/1000*15/1000*1985)+SUM(J51,K51,L51,M51)+E10+E15+E20+I68+I69+I70</f>
        <v>#REF!</v>
      </c>
      <c r="T3" s="331" t="e">
        <f>SUM((C4/1000*C5/1000*15/1000*1985),J51,K51,L51,M51,E10,E15,E20,I68,I69,I70)</f>
        <v>#REF!</v>
      </c>
      <c r="U3" s="328" t="e">
        <f>IF((C2="S-Stone"),SUM((C4/1000*C5/1000*15/1000*1985),J51,K51,L51,M51,E10,E15,E20,I68,I69,I70),IF((C2="S-Sense"),SUM((C4/1000*C5/1000*15/1000*1985),(C4/1000*C5/1000*1/1000*2000*2),J51,K51,L51,M51,E10,E15,E20,I68,I69,I70),0))</f>
        <v>#REF!</v>
      </c>
    </row>
    <row r="4" spans="1:21" ht="14.45" customHeight="1" x14ac:dyDescent="0.2">
      <c r="B4" s="13" t="s">
        <v>6</v>
      </c>
      <c r="C4" s="308">
        <v>1000</v>
      </c>
      <c r="D4" s="313" t="s">
        <v>18</v>
      </c>
      <c r="E4" s="152"/>
      <c r="F4" s="153"/>
      <c r="G4" s="323" t="s">
        <v>116</v>
      </c>
      <c r="H4" s="227" t="str">
        <f>H10</f>
        <v>GLORIA 07</v>
      </c>
      <c r="I4" s="209"/>
      <c r="J4" s="549"/>
      <c r="K4" s="550"/>
      <c r="L4" s="550"/>
      <c r="M4" s="99"/>
      <c r="N4" s="88"/>
      <c r="O4" s="88"/>
      <c r="P4" s="63"/>
      <c r="R4" s="328" t="s">
        <v>248</v>
      </c>
      <c r="S4" s="328" t="e">
        <f>(C4/1000*C5/1000*15/1000*1985)+(C4/1000*C5/1000*1/1000*2000*2)+SUM(J51,K51,L51,M51)+E10+E15+E20+I68+I69+I70</f>
        <v>#REF!</v>
      </c>
      <c r="T4" s="331" t="e">
        <f>SUM((C4/1000*C5/1000*15/1000*1985),(C4/1000*C5/1000*1/1000*2000*2),J51,K51,L51,M51,E10,E15,E20,I68,I69,I70)</f>
        <v>#REF!</v>
      </c>
    </row>
    <row r="5" spans="1:21" ht="14.45" customHeight="1" thickBot="1" x14ac:dyDescent="0.25">
      <c r="B5" s="309" t="s">
        <v>7</v>
      </c>
      <c r="C5" s="310">
        <v>500</v>
      </c>
      <c r="D5" s="314"/>
      <c r="E5" s="154"/>
      <c r="F5" s="153"/>
      <c r="G5" s="324" t="s">
        <v>117</v>
      </c>
      <c r="H5" s="227" t="str">
        <f>H15</f>
        <v>нет</v>
      </c>
      <c r="I5" s="209"/>
      <c r="J5" s="532" t="s">
        <v>36</v>
      </c>
      <c r="K5" s="551"/>
      <c r="L5" s="533"/>
      <c r="M5" s="99"/>
      <c r="N5" s="88"/>
      <c r="O5" s="88"/>
      <c r="P5" s="63"/>
    </row>
    <row r="6" spans="1:21" ht="15.6" customHeight="1" thickBot="1" x14ac:dyDescent="0.25">
      <c r="B6" s="711" t="s">
        <v>135</v>
      </c>
      <c r="C6" s="712"/>
      <c r="D6" s="311">
        <v>0</v>
      </c>
      <c r="E6" s="155"/>
      <c r="F6" s="156"/>
      <c r="G6" s="325" t="s">
        <v>118</v>
      </c>
      <c r="H6" s="227" t="str">
        <f>H20</f>
        <v>нет</v>
      </c>
      <c r="I6" s="209"/>
      <c r="J6" s="532" t="s">
        <v>166</v>
      </c>
      <c r="K6" s="533"/>
      <c r="L6" s="78">
        <v>0</v>
      </c>
      <c r="M6" s="99"/>
      <c r="N6" s="88"/>
      <c r="O6" s="88"/>
      <c r="P6" s="63"/>
    </row>
    <row r="7" spans="1:21" ht="19.149999999999999" customHeight="1" x14ac:dyDescent="0.25">
      <c r="B7" s="31" t="s">
        <v>131</v>
      </c>
      <c r="C7" s="529"/>
      <c r="D7" s="529"/>
      <c r="E7" s="157"/>
      <c r="F7" s="158"/>
      <c r="G7" s="530" t="s">
        <v>254</v>
      </c>
      <c r="H7" s="530"/>
      <c r="I7" s="531"/>
      <c r="J7" s="532" t="s">
        <v>167</v>
      </c>
      <c r="K7" s="533"/>
      <c r="L7" s="78">
        <v>0</v>
      </c>
      <c r="M7" s="99"/>
      <c r="N7" s="88"/>
      <c r="O7" s="88"/>
      <c r="P7" s="63"/>
    </row>
    <row r="8" spans="1:21" ht="17.25" customHeight="1" x14ac:dyDescent="0.25">
      <c r="B8" s="65"/>
      <c r="C8" s="88"/>
      <c r="D8" s="88"/>
      <c r="E8" s="88"/>
      <c r="F8" s="5"/>
      <c r="G8" s="701"/>
      <c r="H8" s="701"/>
      <c r="I8" s="702"/>
      <c r="J8" s="703" t="s">
        <v>130</v>
      </c>
      <c r="K8" s="704"/>
      <c r="L8" s="704"/>
      <c r="M8" s="99"/>
      <c r="N8" s="88"/>
      <c r="O8" s="88"/>
      <c r="P8" s="63"/>
    </row>
    <row r="9" spans="1:21" ht="16.899999999999999" customHeight="1" x14ac:dyDescent="0.25">
      <c r="B9" s="707" t="s">
        <v>182</v>
      </c>
      <c r="C9" s="708"/>
      <c r="D9" s="708"/>
      <c r="E9" s="159"/>
      <c r="F9" s="228"/>
      <c r="G9" s="708" t="s">
        <v>184</v>
      </c>
      <c r="H9" s="708"/>
      <c r="I9" s="709"/>
      <c r="J9" s="705"/>
      <c r="K9" s="706"/>
      <c r="L9" s="706"/>
      <c r="M9" s="99"/>
      <c r="N9" s="88"/>
      <c r="O9" s="88"/>
      <c r="P9" s="63"/>
    </row>
    <row r="10" spans="1:21" ht="14.45" customHeight="1" x14ac:dyDescent="0.25">
      <c r="A10" s="1" t="str">
        <f>C10</f>
        <v>нет</v>
      </c>
      <c r="B10" s="210" t="s">
        <v>19</v>
      </c>
      <c r="C10" s="66" t="s">
        <v>24</v>
      </c>
      <c r="D10" s="80" t="e">
        <f>VLOOKUP(C10,Списки!#REF!,2,FALSE)</f>
        <v>#REF!</v>
      </c>
      <c r="E10" s="182" t="e">
        <f>VLOOKUP(C10,Списки!#REF!,7,0)</f>
        <v>#REF!</v>
      </c>
      <c r="F10" s="229"/>
      <c r="G10" s="214" t="s">
        <v>19</v>
      </c>
      <c r="H10" s="66" t="s">
        <v>224</v>
      </c>
      <c r="I10" s="195">
        <f>IF(AND(H10=H4,H11="S-Stone"),VLOOKUP(H4,Списки!$B$73:$C$113,2,0),IF(AND(H10=H4,H11="S-Sense"),VLOOKUP(H4,Списки!$B$73:$I$113,8,0),0))</f>
        <v>0</v>
      </c>
      <c r="J10" s="532" t="s">
        <v>37</v>
      </c>
      <c r="K10" s="551"/>
      <c r="L10" s="533"/>
      <c r="M10" s="99"/>
      <c r="N10" s="88"/>
      <c r="O10" s="88"/>
      <c r="P10" s="63"/>
    </row>
    <row r="11" spans="1:21" x14ac:dyDescent="0.25">
      <c r="B11" s="211" t="s">
        <v>21</v>
      </c>
      <c r="C11" s="66" t="s">
        <v>18</v>
      </c>
      <c r="D11" s="80">
        <f>IF(AND(A10=C10,C11="RAL, указать:"),VLOOKUP(A10,Списки!#REF!,9,0),0)</f>
        <v>0</v>
      </c>
      <c r="E11" s="150"/>
      <c r="F11" s="229"/>
      <c r="G11" s="215" t="s">
        <v>246</v>
      </c>
      <c r="H11" s="230" t="s">
        <v>249</v>
      </c>
      <c r="I11" s="192"/>
      <c r="J11" s="532" t="s">
        <v>168</v>
      </c>
      <c r="K11" s="533"/>
      <c r="L11" s="78">
        <v>0</v>
      </c>
      <c r="M11" s="99"/>
      <c r="N11" s="88"/>
      <c r="O11" s="88"/>
      <c r="P11" s="63"/>
    </row>
    <row r="12" spans="1:21" ht="14.45" customHeight="1" x14ac:dyDescent="0.25">
      <c r="B12" s="211" t="s">
        <v>22</v>
      </c>
      <c r="C12" s="67" t="s">
        <v>111</v>
      </c>
      <c r="D12" s="80">
        <f>VLOOKUP(C12,Списки!B25:C26,2,FALSE)</f>
        <v>0</v>
      </c>
      <c r="E12" s="150"/>
      <c r="F12" s="229"/>
      <c r="G12" s="215" t="s">
        <v>21</v>
      </c>
      <c r="H12" s="66" t="s">
        <v>18</v>
      </c>
      <c r="I12" s="160">
        <f>IF(AND(H10=H4,H11="S-Stone",H12="RAL, указать:"),VLOOKUP(H4,Списки!$B$73:$D$113,3,0),IF(AND(H10=H4,H11="S-Sense",H12="RAL, указать:"),VLOOKUP(H4,Списки!$B$73:$J$113,9,0),0))</f>
        <v>0</v>
      </c>
      <c r="J12" s="532" t="s">
        <v>169</v>
      </c>
      <c r="K12" s="533"/>
      <c r="L12" s="78">
        <v>0</v>
      </c>
      <c r="M12" s="99"/>
      <c r="N12" s="88"/>
      <c r="O12" s="88"/>
      <c r="P12" s="63"/>
    </row>
    <row r="13" spans="1:21" x14ac:dyDescent="0.25">
      <c r="B13" s="211" t="s">
        <v>27</v>
      </c>
      <c r="C13" s="66" t="s">
        <v>24</v>
      </c>
      <c r="D13" s="80">
        <f>VLOOKUP(C13,Списки!B28:C30,2,FALSE)</f>
        <v>0</v>
      </c>
      <c r="E13" s="150"/>
      <c r="F13" s="229"/>
      <c r="G13" s="215" t="s">
        <v>27</v>
      </c>
      <c r="H13" s="66" t="s">
        <v>24</v>
      </c>
      <c r="I13" s="160">
        <f>IF(AND(H10=H4,H11="S-Stone",H13="цветной с лого"),VLOOKUP(H4,Списки!$B$73:$H$113,7,0),IF(AND(H10=H4,H11="S-Stone",H13="белый с лого"),VLOOKUP(H4,Списки!$B$73:$G$113,6,0),IF(AND(H10=H4,H11="S-Sense",H13="цветной с лого"),VLOOKUP(H4,Списки!$B$73:$R$113,13,0),IF(AND(H10=H4,H11="S-Sense",H13="белый с лого"),VLOOKUP(H4,Списки!$B$73:$M$113,12,0),0))))</f>
        <v>0</v>
      </c>
      <c r="J13" s="554" t="s">
        <v>119</v>
      </c>
      <c r="K13" s="555"/>
      <c r="L13" s="555"/>
      <c r="M13" s="99"/>
      <c r="N13" s="88"/>
      <c r="O13" s="88"/>
      <c r="P13" s="63"/>
      <c r="Q13" s="193"/>
    </row>
    <row r="14" spans="1:21" ht="14.45" customHeight="1" x14ac:dyDescent="0.25">
      <c r="B14" s="212" t="s">
        <v>126</v>
      </c>
      <c r="C14" s="68"/>
      <c r="D14" s="161"/>
      <c r="E14" s="162"/>
      <c r="F14" s="231"/>
      <c r="G14" s="216" t="s">
        <v>126</v>
      </c>
      <c r="H14" s="68"/>
      <c r="I14" s="168"/>
      <c r="J14" s="556"/>
      <c r="K14" s="557"/>
      <c r="L14" s="557"/>
      <c r="M14" s="99"/>
      <c r="N14" s="88"/>
      <c r="O14" s="88"/>
      <c r="P14" s="63"/>
      <c r="Q14" s="193"/>
    </row>
    <row r="15" spans="1:21" ht="14.45" customHeight="1" x14ac:dyDescent="0.25">
      <c r="A15" s="1" t="str">
        <f>C15</f>
        <v>нет</v>
      </c>
      <c r="B15" s="210" t="s">
        <v>23</v>
      </c>
      <c r="C15" s="66" t="s">
        <v>24</v>
      </c>
      <c r="D15" s="80" t="e">
        <f>VLOOKUP(C15,Списки!#REF!,2,FALSE)</f>
        <v>#REF!</v>
      </c>
      <c r="E15" s="150" t="e">
        <f>VLOOKUP(C15,Списки!#REF!,7,0)</f>
        <v>#REF!</v>
      </c>
      <c r="F15" s="229"/>
      <c r="G15" s="214" t="s">
        <v>23</v>
      </c>
      <c r="H15" s="66" t="s">
        <v>24</v>
      </c>
      <c r="I15" s="160">
        <f>IF(AND(H15=H5,H16="S-Stone"),VLOOKUP(H5,Списки!$B$73:$C$113,2,0),IF(AND(H15=H5,H16="S-Sense"),VLOOKUP(H5,Списки!$B$73:$I$113,8,0),0))</f>
        <v>0</v>
      </c>
      <c r="J15" s="65"/>
      <c r="K15" s="88"/>
      <c r="L15" s="88"/>
      <c r="M15" s="88"/>
      <c r="N15" s="88"/>
      <c r="O15" s="88"/>
      <c r="P15" s="63"/>
    </row>
    <row r="16" spans="1:21" x14ac:dyDescent="0.25">
      <c r="B16" s="211" t="s">
        <v>25</v>
      </c>
      <c r="C16" s="66" t="s">
        <v>18</v>
      </c>
      <c r="D16" s="80">
        <f>IF(AND(A15=C15,C16="RAL, указать:"),VLOOKUP(A15,Списки!#REF!,9,0),0)</f>
        <v>0</v>
      </c>
      <c r="E16" s="150"/>
      <c r="F16" s="229"/>
      <c r="G16" s="215" t="s">
        <v>246</v>
      </c>
      <c r="H16" s="230" t="s">
        <v>249</v>
      </c>
      <c r="I16" s="194" t="s">
        <v>252</v>
      </c>
      <c r="J16" s="65"/>
      <c r="K16" s="88"/>
      <c r="L16" s="88"/>
      <c r="M16" s="88"/>
      <c r="N16" s="88"/>
      <c r="O16" s="88"/>
      <c r="P16" s="63"/>
    </row>
    <row r="17" spans="1:16" ht="15" customHeight="1" x14ac:dyDescent="0.25">
      <c r="B17" s="211" t="s">
        <v>26</v>
      </c>
      <c r="C17" s="67" t="s">
        <v>111</v>
      </c>
      <c r="D17" s="80">
        <f>VLOOKUP(C17,Списки!B25:C26,2,FALSE)</f>
        <v>0</v>
      </c>
      <c r="E17" s="85"/>
      <c r="F17" s="229"/>
      <c r="G17" s="215" t="s">
        <v>25</v>
      </c>
      <c r="H17" s="66" t="s">
        <v>18</v>
      </c>
      <c r="I17" s="160">
        <f>IF(AND(H15=H5,H16="S-Stone",H17="RAL, указать:"),VLOOKUP(H5,Списки!$B$73:$D$113,3,0),IF(AND(H15=H5,H16="S-Sense",H17="RAL, указать:"),VLOOKUP(H5,Списки!$B$73:$J$113,9,0),0))</f>
        <v>0</v>
      </c>
      <c r="J17" s="697" t="s">
        <v>287</v>
      </c>
      <c r="K17" s="698"/>
      <c r="L17" s="698"/>
      <c r="M17" s="698"/>
      <c r="N17" s="88"/>
      <c r="O17" s="88"/>
      <c r="P17" s="63"/>
    </row>
    <row r="18" spans="1:16" ht="14.45" customHeight="1" x14ac:dyDescent="0.25">
      <c r="B18" s="211" t="s">
        <v>28</v>
      </c>
      <c r="C18" s="66" t="s">
        <v>24</v>
      </c>
      <c r="D18" s="80">
        <f>VLOOKUP(C18,Списки!B28:C30,2,FALSE)</f>
        <v>0</v>
      </c>
      <c r="E18" s="85"/>
      <c r="F18" s="229"/>
      <c r="G18" s="215" t="s">
        <v>28</v>
      </c>
      <c r="H18" s="66" t="s">
        <v>24</v>
      </c>
      <c r="I18" s="160">
        <f>IF(AND(H15=H5,H16="S-Stone",H18="цветной с лого"),VLOOKUP(H5,Списки!$B$73:$H$113,7,0),IF(AND(H15=H5,H16="S-Stone",H18="белый с лого"),VLOOKUP(H5,Списки!$B$73:$G$113,6,0),IF(AND(H15=H5,H16="S-Sense",H18="цветной с лого"),VLOOKUP(H5,Списки!$B$73:$R$113,13,0),IF(AND(H15=H5,H16="S-Sense",H18="белый с лого"),VLOOKUP(H5,Списки!$B$73:$M$113,12,0),0))))</f>
        <v>0</v>
      </c>
      <c r="J18" s="699"/>
      <c r="K18" s="700"/>
      <c r="L18" s="700"/>
      <c r="M18" s="700"/>
      <c r="N18" s="88"/>
      <c r="O18" s="100"/>
      <c r="P18" s="69"/>
    </row>
    <row r="19" spans="1:16" ht="14.45" customHeight="1" x14ac:dyDescent="0.25">
      <c r="B19" s="212" t="s">
        <v>128</v>
      </c>
      <c r="C19" s="68"/>
      <c r="D19" s="1"/>
      <c r="E19" s="163"/>
      <c r="F19" s="232"/>
      <c r="G19" s="216" t="s">
        <v>128</v>
      </c>
      <c r="H19" s="68"/>
      <c r="I19" s="8"/>
      <c r="J19" s="558" t="s">
        <v>33</v>
      </c>
      <c r="K19" s="559"/>
      <c r="L19" s="560" t="s">
        <v>4</v>
      </c>
      <c r="M19" s="561"/>
      <c r="N19" s="88"/>
      <c r="O19" s="100"/>
      <c r="P19" s="69"/>
    </row>
    <row r="20" spans="1:16" ht="14.45" customHeight="1" x14ac:dyDescent="0.25">
      <c r="A20" s="1" t="str">
        <f>C20</f>
        <v>нет</v>
      </c>
      <c r="B20" s="210" t="s">
        <v>29</v>
      </c>
      <c r="C20" s="66" t="s">
        <v>24</v>
      </c>
      <c r="D20" s="80" t="e">
        <f>VLOOKUP(C20,Списки!#REF!,2,FALSE)</f>
        <v>#REF!</v>
      </c>
      <c r="E20" s="150" t="e">
        <f>VLOOKUP(C20,Списки!#REF!,7,0)</f>
        <v>#REF!</v>
      </c>
      <c r="F20" s="229"/>
      <c r="G20" s="214" t="s">
        <v>29</v>
      </c>
      <c r="H20" s="66" t="s">
        <v>24</v>
      </c>
      <c r="I20" s="160">
        <f>IF(AND(H20=H6,H21="S-Stone"),VLOOKUP(H6,Списки!$B$73:$C$113,2,0),IF(AND(H20=H6,H21="S-Sense"),VLOOKUP(H6,Списки!$B$73:$I$113,8,0),0))</f>
        <v>0</v>
      </c>
      <c r="J20" s="235"/>
      <c r="K20" s="236"/>
      <c r="L20" s="236"/>
      <c r="M20" s="236"/>
      <c r="N20" s="88"/>
      <c r="O20" s="100"/>
      <c r="P20" s="69"/>
    </row>
    <row r="21" spans="1:16" ht="14.45" customHeight="1" x14ac:dyDescent="0.25">
      <c r="B21" s="211" t="s">
        <v>30</v>
      </c>
      <c r="C21" s="66" t="s">
        <v>18</v>
      </c>
      <c r="D21" s="80">
        <f>IF(AND(A20=C20,C21="RAL, указать:"),VLOOKUP(A20,Списки!#REF!,9,0),0)</f>
        <v>0</v>
      </c>
      <c r="E21" s="150"/>
      <c r="F21" s="229"/>
      <c r="G21" s="215" t="s">
        <v>246</v>
      </c>
      <c r="H21" s="230" t="s">
        <v>249</v>
      </c>
      <c r="I21" s="192"/>
      <c r="J21" s="693" t="s">
        <v>164</v>
      </c>
      <c r="K21" s="694"/>
      <c r="L21" s="694"/>
      <c r="M21" s="694"/>
      <c r="N21" s="88"/>
      <c r="O21" s="88"/>
      <c r="P21" s="83"/>
    </row>
    <row r="22" spans="1:16" x14ac:dyDescent="0.25">
      <c r="B22" s="211" t="s">
        <v>31</v>
      </c>
      <c r="C22" s="67" t="s">
        <v>111</v>
      </c>
      <c r="D22" s="80">
        <f>VLOOKUP(C22,Списки!B25:C26,2,FALSE)</f>
        <v>0</v>
      </c>
      <c r="E22" s="150"/>
      <c r="F22" s="229"/>
      <c r="G22" s="215" t="s">
        <v>30</v>
      </c>
      <c r="H22" s="66" t="s">
        <v>18</v>
      </c>
      <c r="I22" s="160">
        <f>IF(AND(H20=H6,H21="S-Stone",H22="RAL, указать:"),VLOOKUP(H6,Списки!$B$73:$D$113,3,0),IF(AND(H20=H6,H21="S-Sense",H22="RAL, указать:"),VLOOKUP(H6,Списки!$B$73:$J$113,9,0),0))</f>
        <v>0</v>
      </c>
      <c r="J22" s="695"/>
      <c r="K22" s="696"/>
      <c r="L22" s="696"/>
      <c r="M22" s="696"/>
      <c r="N22" s="100"/>
      <c r="P22" s="70"/>
    </row>
    <row r="23" spans="1:16" ht="14.45" customHeight="1" x14ac:dyDescent="0.25">
      <c r="B23" s="211" t="s">
        <v>32</v>
      </c>
      <c r="C23" s="66" t="s">
        <v>24</v>
      </c>
      <c r="D23" s="80">
        <f>VLOOKUP(C23,Списки!B28:C30,2,FALSE)</f>
        <v>0</v>
      </c>
      <c r="E23" s="150"/>
      <c r="F23" s="229"/>
      <c r="G23" s="215" t="s">
        <v>32</v>
      </c>
      <c r="H23" s="66" t="s">
        <v>24</v>
      </c>
      <c r="I23" s="160">
        <f>IF(AND(H20=H6,H21="S-Stone",H23="цветной с лого"),VLOOKUP(H6,Списки!$B$73:$H$113,7,0),IF(AND(H20=H6,H21="S-Stone",H23="белый с лого"),VLOOKUP(H6,Списки!$B$73:$G$113,6,0),IF(AND(H20=H6,H21="S-Sense",H23="цветной с лого"),VLOOKUP(H6,Списки!$B$73:$R$113,13,0),IF(AND(H20=H6,H21="S-Sense",H23="белый с лого"),VLOOKUP(H6,Списки!$B$73:$M$113,12,0),0))))</f>
        <v>0</v>
      </c>
      <c r="J23" s="568" t="s">
        <v>143</v>
      </c>
      <c r="K23" s="569"/>
      <c r="L23" s="196" t="s">
        <v>17</v>
      </c>
      <c r="M23" s="196" t="s">
        <v>15</v>
      </c>
      <c r="N23" s="100"/>
      <c r="O23" s="89"/>
      <c r="P23" s="63"/>
    </row>
    <row r="24" spans="1:16" ht="14.45" customHeight="1" x14ac:dyDescent="0.25">
      <c r="B24" s="213" t="s">
        <v>127</v>
      </c>
      <c r="C24" s="72"/>
      <c r="D24" s="81"/>
      <c r="E24" s="164"/>
      <c r="F24" s="165"/>
      <c r="G24" s="216" t="s">
        <v>127</v>
      </c>
      <c r="H24" s="68"/>
      <c r="I24" s="169"/>
      <c r="J24" s="570" t="s">
        <v>144</v>
      </c>
      <c r="K24" s="571"/>
      <c r="L24" s="64">
        <v>0</v>
      </c>
      <c r="M24" s="316">
        <f>L24*3700</f>
        <v>0</v>
      </c>
      <c r="N24" s="100"/>
      <c r="O24" s="89"/>
      <c r="P24" s="71"/>
    </row>
    <row r="25" spans="1:16" ht="15" customHeight="1" x14ac:dyDescent="0.25">
      <c r="B25" s="516" t="s">
        <v>165</v>
      </c>
      <c r="C25" s="517"/>
      <c r="D25" s="715" t="e">
        <f>SUM(D10:D23)+D6</f>
        <v>#REF!</v>
      </c>
      <c r="E25" s="166"/>
      <c r="F25" s="167"/>
      <c r="G25" s="517" t="s">
        <v>185</v>
      </c>
      <c r="H25" s="517"/>
      <c r="I25" s="520">
        <f>SUM(I10,I12,I13,I15,I17,I18,I20,I22,I23)+D6</f>
        <v>0</v>
      </c>
      <c r="J25" s="237" t="s">
        <v>145</v>
      </c>
      <c r="K25" s="197"/>
      <c r="L25" s="64">
        <v>0</v>
      </c>
      <c r="M25" s="316">
        <f>L25*5600</f>
        <v>0</v>
      </c>
      <c r="N25" s="86"/>
      <c r="O25" s="149" t="s">
        <v>146</v>
      </c>
      <c r="P25" s="71"/>
    </row>
    <row r="26" spans="1:16" ht="15.6" customHeight="1" x14ac:dyDescent="0.25">
      <c r="B26" s="516"/>
      <c r="C26" s="517"/>
      <c r="D26" s="715"/>
      <c r="F26" s="244"/>
      <c r="G26" s="517"/>
      <c r="H26" s="517"/>
      <c r="I26" s="520"/>
      <c r="J26" s="237" t="s">
        <v>234</v>
      </c>
      <c r="K26" s="197"/>
      <c r="L26" s="64">
        <v>0</v>
      </c>
      <c r="M26" s="316">
        <f>L26*10100</f>
        <v>0</v>
      </c>
      <c r="N26" s="86"/>
      <c r="O26" s="148"/>
      <c r="P26" s="83"/>
    </row>
    <row r="27" spans="1:16" ht="14.45" customHeight="1" x14ac:dyDescent="0.25">
      <c r="B27" s="65"/>
      <c r="C27" s="88"/>
      <c r="D27" s="88"/>
      <c r="E27" s="88"/>
      <c r="F27" s="88"/>
      <c r="G27" s="156"/>
      <c r="H27" s="156"/>
      <c r="I27" s="62"/>
      <c r="J27" s="237" t="s">
        <v>236</v>
      </c>
      <c r="K27" s="197"/>
      <c r="L27" s="64">
        <v>0</v>
      </c>
      <c r="M27" s="315">
        <f>L27*12100</f>
        <v>0</v>
      </c>
      <c r="N27" s="89"/>
      <c r="O27" s="87"/>
      <c r="P27" s="83"/>
    </row>
    <row r="28" spans="1:16" ht="15" customHeight="1" x14ac:dyDescent="0.25">
      <c r="B28" s="65"/>
      <c r="C28" s="88"/>
      <c r="D28" s="88"/>
      <c r="E28" s="88"/>
      <c r="F28" s="88"/>
      <c r="G28" s="156"/>
      <c r="H28" s="156"/>
      <c r="I28" s="62"/>
      <c r="J28" s="237" t="s">
        <v>237</v>
      </c>
      <c r="K28" s="197"/>
      <c r="L28" s="64">
        <v>0</v>
      </c>
      <c r="M28" s="315">
        <f>L28*10100</f>
        <v>0</v>
      </c>
      <c r="N28" s="88"/>
      <c r="P28" s="83"/>
    </row>
    <row r="29" spans="1:16" ht="16.149999999999999" customHeight="1" x14ac:dyDescent="0.25">
      <c r="B29" s="65"/>
      <c r="C29" s="88"/>
      <c r="D29" s="88"/>
      <c r="E29" s="88"/>
      <c r="F29" s="88"/>
      <c r="G29" s="88"/>
      <c r="H29" s="88"/>
      <c r="I29" s="63"/>
      <c r="J29" s="237" t="s">
        <v>238</v>
      </c>
      <c r="K29" s="197"/>
      <c r="L29" s="64">
        <v>0</v>
      </c>
      <c r="M29" s="315">
        <f>L29*12100</f>
        <v>0</v>
      </c>
      <c r="N29" s="144"/>
      <c r="O29" s="144"/>
      <c r="P29" s="145"/>
    </row>
    <row r="30" spans="1:16" ht="19.899999999999999" customHeight="1" x14ac:dyDescent="0.25">
      <c r="B30" s="65"/>
      <c r="C30" s="88"/>
      <c r="D30" s="88"/>
      <c r="E30" s="88"/>
      <c r="F30" s="88"/>
      <c r="G30" s="88"/>
      <c r="H30" s="88"/>
      <c r="I30" s="63"/>
      <c r="J30" s="233"/>
      <c r="K30" s="144"/>
      <c r="L30" s="144"/>
      <c r="M30" s="144"/>
      <c r="N30" s="543" t="s">
        <v>235</v>
      </c>
      <c r="O30" s="543"/>
      <c r="P30" s="145"/>
    </row>
    <row r="31" spans="1:16" ht="19.149999999999999" customHeight="1" x14ac:dyDescent="0.25">
      <c r="B31" s="65"/>
      <c r="C31" s="88"/>
      <c r="D31" s="88"/>
      <c r="E31" s="88"/>
      <c r="F31" s="88"/>
      <c r="G31" s="88"/>
      <c r="H31" s="88"/>
      <c r="I31" s="63"/>
      <c r="J31" s="562" t="s">
        <v>170</v>
      </c>
      <c r="K31" s="563"/>
      <c r="L31" s="90">
        <v>0</v>
      </c>
      <c r="M31" s="88"/>
      <c r="N31" s="144"/>
      <c r="O31" s="144"/>
      <c r="P31" s="145"/>
    </row>
    <row r="32" spans="1:16" ht="19.899999999999999" customHeight="1" x14ac:dyDescent="0.25">
      <c r="B32" s="735" t="s">
        <v>255</v>
      </c>
      <c r="C32" s="736"/>
      <c r="D32" s="736" t="s">
        <v>261</v>
      </c>
      <c r="E32" s="736"/>
      <c r="F32" s="736"/>
      <c r="G32" s="736"/>
      <c r="H32" s="94"/>
      <c r="I32" s="170"/>
      <c r="J32" s="616" t="s">
        <v>259</v>
      </c>
      <c r="K32" s="617"/>
      <c r="L32" s="617"/>
      <c r="M32" s="617"/>
      <c r="N32" s="144"/>
      <c r="O32" s="144"/>
      <c r="P32" s="145"/>
    </row>
    <row r="33" spans="2:16" ht="25.15" customHeight="1" x14ac:dyDescent="0.25">
      <c r="B33" s="735"/>
      <c r="C33" s="736"/>
      <c r="D33" s="736"/>
      <c r="E33" s="736"/>
      <c r="F33" s="736"/>
      <c r="G33" s="736"/>
      <c r="H33" s="739" t="s">
        <v>221</v>
      </c>
      <c r="I33" s="740"/>
      <c r="J33" s="616"/>
      <c r="K33" s="617"/>
      <c r="L33" s="617"/>
      <c r="M33" s="617"/>
      <c r="N33" s="144"/>
      <c r="O33" s="89"/>
      <c r="P33" s="145"/>
    </row>
    <row r="34" spans="2:16" ht="18" customHeight="1" thickBot="1" x14ac:dyDescent="0.3">
      <c r="B34" s="737"/>
      <c r="C34" s="738"/>
      <c r="D34" s="738"/>
      <c r="E34" s="738"/>
      <c r="F34" s="738"/>
      <c r="G34" s="738"/>
      <c r="H34" s="741"/>
      <c r="I34" s="742"/>
      <c r="J34" s="618"/>
      <c r="K34" s="619"/>
      <c r="L34" s="619"/>
      <c r="M34" s="619"/>
      <c r="N34" s="146"/>
      <c r="O34" s="234"/>
      <c r="P34" s="147"/>
    </row>
    <row r="35" spans="2:16" ht="15.75" x14ac:dyDescent="0.25">
      <c r="B35" s="613" t="s">
        <v>122</v>
      </c>
      <c r="C35" s="614"/>
      <c r="D35" s="614"/>
      <c r="E35" s="614"/>
      <c r="F35" s="614"/>
      <c r="G35" s="614"/>
      <c r="H35" s="614"/>
      <c r="I35" s="615"/>
      <c r="J35" s="547" t="s">
        <v>278</v>
      </c>
      <c r="K35" s="548"/>
      <c r="L35" s="548"/>
      <c r="M35" s="548"/>
      <c r="N35" s="548"/>
      <c r="O35" s="548"/>
      <c r="P35" s="579"/>
    </row>
    <row r="36" spans="2:16" ht="12.6" customHeight="1" thickBot="1" x14ac:dyDescent="0.3">
      <c r="B36" s="199"/>
      <c r="C36" s="265"/>
      <c r="D36" s="265"/>
      <c r="E36" s="265"/>
      <c r="F36" s="265"/>
      <c r="G36" s="265"/>
      <c r="H36" s="265"/>
      <c r="I36" s="266"/>
      <c r="J36" s="749" t="s">
        <v>102</v>
      </c>
      <c r="K36" s="731" t="s">
        <v>103</v>
      </c>
      <c r="L36" s="731" t="s">
        <v>104</v>
      </c>
      <c r="M36" s="732" t="s">
        <v>105</v>
      </c>
      <c r="N36" s="92"/>
      <c r="O36" s="249"/>
      <c r="P36" s="63"/>
    </row>
    <row r="37" spans="2:16" ht="14.45" customHeight="1" thickBot="1" x14ac:dyDescent="0.25">
      <c r="B37" s="199"/>
      <c r="C37" s="200"/>
      <c r="D37" s="201"/>
      <c r="E37" s="201"/>
      <c r="F37" s="202"/>
      <c r="G37" s="203" t="s">
        <v>125</v>
      </c>
      <c r="H37" s="204" t="s">
        <v>124</v>
      </c>
      <c r="I37" s="267"/>
      <c r="J37" s="749"/>
      <c r="K37" s="731"/>
      <c r="L37" s="731"/>
      <c r="M37" s="732"/>
      <c r="N37" s="92"/>
      <c r="O37" s="249"/>
      <c r="P37" s="63"/>
    </row>
    <row r="38" spans="2:16" ht="15" customHeight="1" x14ac:dyDescent="0.25">
      <c r="B38" s="199"/>
      <c r="C38" s="583" t="s">
        <v>6</v>
      </c>
      <c r="D38" s="717"/>
      <c r="E38" s="717"/>
      <c r="F38" s="584"/>
      <c r="G38" s="175">
        <f>C4</f>
        <v>1000</v>
      </c>
      <c r="H38" s="172"/>
      <c r="I38" s="266"/>
      <c r="J38" s="238"/>
      <c r="K38" s="224"/>
      <c r="L38" s="224"/>
      <c r="M38" s="225"/>
      <c r="N38" s="91"/>
      <c r="O38" s="249"/>
      <c r="P38" s="63"/>
    </row>
    <row r="39" spans="2:16" ht="15" customHeight="1" x14ac:dyDescent="0.25">
      <c r="B39" s="199"/>
      <c r="C39" s="590" t="s">
        <v>7</v>
      </c>
      <c r="D39" s="718"/>
      <c r="E39" s="718"/>
      <c r="F39" s="591"/>
      <c r="G39" s="105">
        <f>C5</f>
        <v>500</v>
      </c>
      <c r="H39" s="106"/>
      <c r="I39" s="266"/>
      <c r="J39" s="73"/>
      <c r="K39" s="91"/>
      <c r="L39" s="91"/>
      <c r="M39" s="226"/>
      <c r="N39" s="91"/>
      <c r="O39" s="249"/>
      <c r="P39" s="63"/>
    </row>
    <row r="40" spans="2:16" ht="14.45" customHeight="1" x14ac:dyDescent="0.25">
      <c r="B40" s="199"/>
      <c r="C40" s="572" t="s">
        <v>80</v>
      </c>
      <c r="D40" s="723"/>
      <c r="E40" s="723"/>
      <c r="F40" s="573"/>
      <c r="G40" s="107">
        <f>D5</f>
        <v>0</v>
      </c>
      <c r="H40" s="106"/>
      <c r="I40" s="266"/>
      <c r="J40" s="73"/>
      <c r="K40" s="91"/>
      <c r="L40" s="91"/>
      <c r="M40" s="226"/>
      <c r="N40" s="91"/>
      <c r="O40" s="249"/>
      <c r="P40" s="63"/>
    </row>
    <row r="41" spans="2:16" ht="14.45" customHeight="1" x14ac:dyDescent="0.25">
      <c r="B41" s="199"/>
      <c r="C41" s="590" t="s">
        <v>157</v>
      </c>
      <c r="D41" s="718"/>
      <c r="E41" s="718"/>
      <c r="F41" s="591"/>
      <c r="G41" s="108" t="e">
        <f>C3</f>
        <v>#REF!</v>
      </c>
      <c r="H41" s="106"/>
      <c r="I41" s="266"/>
      <c r="J41" s="73"/>
      <c r="K41" s="91"/>
      <c r="L41" s="91"/>
      <c r="M41" s="226"/>
      <c r="N41" s="647" t="s">
        <v>283</v>
      </c>
      <c r="O41" s="648"/>
      <c r="P41" s="755"/>
    </row>
    <row r="42" spans="2:16" ht="13.15" customHeight="1" thickBot="1" x14ac:dyDescent="0.3">
      <c r="B42" s="199"/>
      <c r="C42" s="587" t="s">
        <v>129</v>
      </c>
      <c r="D42" s="743"/>
      <c r="E42" s="743"/>
      <c r="F42" s="588"/>
      <c r="G42" s="176"/>
      <c r="H42" s="174">
        <f>D6</f>
        <v>0</v>
      </c>
      <c r="I42" s="266"/>
      <c r="J42" s="73"/>
      <c r="K42" s="91"/>
      <c r="L42" s="91"/>
      <c r="M42" s="226"/>
      <c r="N42" s="647"/>
      <c r="O42" s="648"/>
      <c r="P42" s="755"/>
    </row>
    <row r="43" spans="2:16" ht="14.45" customHeight="1" x14ac:dyDescent="0.25">
      <c r="B43" s="199"/>
      <c r="C43" s="720" t="s">
        <v>218</v>
      </c>
      <c r="D43" s="721"/>
      <c r="E43" s="721"/>
      <c r="F43" s="722"/>
      <c r="G43" s="171" t="str">
        <f>C10</f>
        <v>нет</v>
      </c>
      <c r="H43" s="172" t="e">
        <f>D10+D12+D11+D13</f>
        <v>#REF!</v>
      </c>
      <c r="I43" s="266"/>
      <c r="J43" s="73"/>
      <c r="K43" s="91"/>
      <c r="L43" s="91"/>
      <c r="M43" s="226"/>
      <c r="N43" s="647"/>
      <c r="O43" s="648"/>
      <c r="P43" s="755"/>
    </row>
    <row r="44" spans="2:16" ht="15" customHeight="1" x14ac:dyDescent="0.25">
      <c r="B44" s="199"/>
      <c r="C44" s="572" t="s">
        <v>219</v>
      </c>
      <c r="D44" s="723"/>
      <c r="E44" s="723"/>
      <c r="F44" s="573"/>
      <c r="G44" s="105" t="str">
        <f>C15</f>
        <v>нет</v>
      </c>
      <c r="H44" s="106" t="e">
        <f>D15+D16+D17+D18</f>
        <v>#REF!</v>
      </c>
      <c r="I44" s="266"/>
      <c r="J44" s="729" t="s">
        <v>107</v>
      </c>
      <c r="K44" s="730"/>
      <c r="L44" s="730"/>
      <c r="M44" s="730"/>
      <c r="N44" s="262"/>
      <c r="O44" s="262"/>
      <c r="P44" s="71"/>
    </row>
    <row r="45" spans="2:16" ht="15" customHeight="1" thickBot="1" x14ac:dyDescent="0.3">
      <c r="B45" s="199"/>
      <c r="C45" s="751" t="s">
        <v>220</v>
      </c>
      <c r="D45" s="752"/>
      <c r="E45" s="752"/>
      <c r="F45" s="753"/>
      <c r="G45" s="188" t="str">
        <f>C20</f>
        <v>нет</v>
      </c>
      <c r="H45" s="189" t="e">
        <f>D20+D21+D22+D23</f>
        <v>#REF!</v>
      </c>
      <c r="I45" s="266"/>
      <c r="J45" s="239">
        <v>0</v>
      </c>
      <c r="K45" s="223">
        <v>0</v>
      </c>
      <c r="L45" s="223">
        <v>0</v>
      </c>
      <c r="M45" s="223">
        <v>0</v>
      </c>
      <c r="N45" s="262"/>
      <c r="O45" s="262"/>
      <c r="P45" s="71"/>
    </row>
    <row r="46" spans="2:16" ht="15" customHeight="1" x14ac:dyDescent="0.25">
      <c r="B46" s="199"/>
      <c r="C46" s="205" t="s">
        <v>230</v>
      </c>
      <c r="D46" s="754" t="str">
        <f>H11</f>
        <v>-</v>
      </c>
      <c r="E46" s="754"/>
      <c r="F46" s="754"/>
      <c r="G46" s="177" t="str">
        <f>H10</f>
        <v>GLORIA 07</v>
      </c>
      <c r="H46" s="172">
        <f>SUM(I10,I12,I13)</f>
        <v>0</v>
      </c>
      <c r="I46" s="266"/>
      <c r="J46" s="574" t="s">
        <v>106</v>
      </c>
      <c r="K46" s="575"/>
      <c r="L46" s="575"/>
      <c r="M46" s="733"/>
      <c r="N46" s="262"/>
      <c r="O46" s="262"/>
      <c r="P46" s="71"/>
    </row>
    <row r="47" spans="2:16" x14ac:dyDescent="0.25">
      <c r="B47" s="199"/>
      <c r="C47" s="206" t="s">
        <v>231</v>
      </c>
      <c r="D47" s="724" t="str">
        <f>H16</f>
        <v>-</v>
      </c>
      <c r="E47" s="724"/>
      <c r="F47" s="724"/>
      <c r="G47" s="109" t="str">
        <f>H15</f>
        <v>нет</v>
      </c>
      <c r="H47" s="106">
        <f>SUM(I15,I17,I18)</f>
        <v>0</v>
      </c>
      <c r="I47" s="266"/>
      <c r="J47" s="289">
        <v>0</v>
      </c>
      <c r="K47" s="223">
        <v>0</v>
      </c>
      <c r="L47" s="223">
        <v>0</v>
      </c>
      <c r="M47" s="290">
        <v>0</v>
      </c>
      <c r="N47" s="91"/>
      <c r="O47" s="101"/>
      <c r="P47" s="63"/>
    </row>
    <row r="48" spans="2:16" ht="14.45" customHeight="1" thickBot="1" x14ac:dyDescent="0.3">
      <c r="B48" s="199"/>
      <c r="C48" s="207" t="s">
        <v>232</v>
      </c>
      <c r="D48" s="725" t="str">
        <f>H21</f>
        <v>-</v>
      </c>
      <c r="E48" s="725"/>
      <c r="F48" s="725"/>
      <c r="G48" s="173" t="str">
        <f>H20</f>
        <v>нет</v>
      </c>
      <c r="H48" s="174">
        <f>SUM(I20,I22,I23)</f>
        <v>0</v>
      </c>
      <c r="I48" s="266"/>
      <c r="J48" s="574" t="s">
        <v>108</v>
      </c>
      <c r="K48" s="575"/>
      <c r="L48" s="575"/>
      <c r="M48" s="733"/>
      <c r="N48" s="91"/>
      <c r="O48" s="101"/>
      <c r="P48" s="63"/>
    </row>
    <row r="49" spans="2:16" ht="15" customHeight="1" x14ac:dyDescent="0.25">
      <c r="B49" s="199"/>
      <c r="C49" s="524" t="s">
        <v>39</v>
      </c>
      <c r="D49" s="750"/>
      <c r="E49" s="750"/>
      <c r="F49" s="525"/>
      <c r="G49" s="190"/>
      <c r="H49" s="191">
        <f>J53</f>
        <v>0</v>
      </c>
      <c r="I49" s="266"/>
      <c r="J49" s="239"/>
      <c r="K49" s="223"/>
      <c r="L49" s="223"/>
      <c r="M49" s="223"/>
      <c r="N49" s="91"/>
      <c r="O49" s="101"/>
      <c r="P49" s="63"/>
    </row>
    <row r="50" spans="2:16" ht="15" customHeight="1" x14ac:dyDescent="0.25">
      <c r="B50" s="199"/>
      <c r="C50" s="572" t="s">
        <v>103</v>
      </c>
      <c r="D50" s="723"/>
      <c r="E50" s="723"/>
      <c r="F50" s="573"/>
      <c r="G50" s="105"/>
      <c r="H50" s="106">
        <f>K53</f>
        <v>0</v>
      </c>
      <c r="I50" s="266"/>
      <c r="J50" s="574" t="s">
        <v>109</v>
      </c>
      <c r="K50" s="575"/>
      <c r="L50" s="575"/>
      <c r="M50" s="733"/>
      <c r="N50" s="91"/>
      <c r="O50" s="101"/>
      <c r="P50" s="63"/>
    </row>
    <row r="51" spans="2:16" ht="14.45" customHeight="1" x14ac:dyDescent="0.25">
      <c r="B51" s="199"/>
      <c r="C51" s="572" t="s">
        <v>104</v>
      </c>
      <c r="D51" s="723"/>
      <c r="E51" s="723"/>
      <c r="F51" s="573"/>
      <c r="G51" s="105"/>
      <c r="H51" s="106">
        <f>L53</f>
        <v>0</v>
      </c>
      <c r="I51" s="266"/>
      <c r="J51" s="240">
        <f>J45*J47*14*1985/1000000000</f>
        <v>0</v>
      </c>
      <c r="K51" s="41">
        <f t="shared" ref="K51" si="0">K45*K47*14*1985/1000000000</f>
        <v>0</v>
      </c>
      <c r="L51" s="41">
        <f>L45*L47*14*1985/1000000000</f>
        <v>0</v>
      </c>
      <c r="M51" s="41">
        <f>M45*M47*14*1985/1000000000</f>
        <v>0</v>
      </c>
      <c r="N51" s="726" t="s">
        <v>282</v>
      </c>
      <c r="O51" s="727"/>
      <c r="P51" s="728"/>
    </row>
    <row r="52" spans="2:16" ht="15" customHeight="1" thickBot="1" x14ac:dyDescent="0.3">
      <c r="B52" s="208"/>
      <c r="C52" s="587" t="s">
        <v>105</v>
      </c>
      <c r="D52" s="743"/>
      <c r="E52" s="743"/>
      <c r="F52" s="588"/>
      <c r="G52" s="176"/>
      <c r="H52" s="174">
        <f>M53</f>
        <v>0</v>
      </c>
      <c r="I52" s="266"/>
      <c r="J52" s="599" t="s">
        <v>110</v>
      </c>
      <c r="K52" s="600"/>
      <c r="L52" s="600"/>
      <c r="M52" s="734"/>
      <c r="N52" s="726"/>
      <c r="O52" s="727"/>
      <c r="P52" s="728"/>
    </row>
    <row r="53" spans="2:16" ht="16.149999999999999" customHeight="1" thickBot="1" x14ac:dyDescent="0.3">
      <c r="B53" s="199"/>
      <c r="C53" s="744" t="s">
        <v>123</v>
      </c>
      <c r="D53" s="745"/>
      <c r="E53" s="745"/>
      <c r="F53" s="746"/>
      <c r="G53" s="178"/>
      <c r="H53" s="179">
        <f>SUM(M24:M29)</f>
        <v>0</v>
      </c>
      <c r="I53" s="266"/>
      <c r="J53" s="241">
        <v>0</v>
      </c>
      <c r="K53" s="183">
        <v>0</v>
      </c>
      <c r="L53" s="183">
        <v>0</v>
      </c>
      <c r="M53" s="183">
        <v>0</v>
      </c>
      <c r="N53" s="726"/>
      <c r="O53" s="727"/>
      <c r="P53" s="728"/>
    </row>
    <row r="54" spans="2:16" ht="14.45" customHeight="1" thickBot="1" x14ac:dyDescent="0.3">
      <c r="B54" s="199"/>
      <c r="C54" s="744" t="s">
        <v>85</v>
      </c>
      <c r="D54" s="745"/>
      <c r="E54" s="745"/>
      <c r="F54" s="746"/>
      <c r="G54" s="747" t="str">
        <f>L19</f>
        <v>без отверстия</v>
      </c>
      <c r="H54" s="748"/>
      <c r="I54" s="266"/>
      <c r="J54" s="716" t="s">
        <v>233</v>
      </c>
      <c r="K54" s="604"/>
      <c r="L54" s="604"/>
      <c r="M54" s="604"/>
      <c r="N54" s="88"/>
      <c r="O54" s="88"/>
      <c r="P54" s="63"/>
    </row>
    <row r="55" spans="2:16" ht="15" customHeight="1" x14ac:dyDescent="0.25">
      <c r="B55" s="199"/>
      <c r="C55" s="583" t="s">
        <v>178</v>
      </c>
      <c r="D55" s="717"/>
      <c r="E55" s="717"/>
      <c r="F55" s="584"/>
      <c r="G55" s="180">
        <f>J56</f>
        <v>0</v>
      </c>
      <c r="H55" s="172">
        <f>G55*16800</f>
        <v>0</v>
      </c>
      <c r="I55" s="266"/>
      <c r="J55" s="102" t="s">
        <v>174</v>
      </c>
      <c r="K55" s="250"/>
      <c r="L55" s="103" t="s">
        <v>174</v>
      </c>
      <c r="M55" s="103" t="s">
        <v>174</v>
      </c>
      <c r="N55" s="88"/>
      <c r="O55" s="88"/>
      <c r="P55" s="63"/>
    </row>
    <row r="56" spans="2:16" ht="16.149999999999999" customHeight="1" x14ac:dyDescent="0.25">
      <c r="B56" s="199"/>
      <c r="C56" s="590" t="s">
        <v>176</v>
      </c>
      <c r="D56" s="718"/>
      <c r="E56" s="718"/>
      <c r="F56" s="591"/>
      <c r="G56" s="110">
        <f>L56</f>
        <v>0</v>
      </c>
      <c r="H56" s="106">
        <f>G56*16800</f>
        <v>0</v>
      </c>
      <c r="I56" s="266"/>
      <c r="J56" s="242">
        <v>0</v>
      </c>
      <c r="K56" s="94"/>
      <c r="L56" s="222">
        <v>0</v>
      </c>
      <c r="M56" s="222">
        <v>0</v>
      </c>
      <c r="N56" s="88"/>
      <c r="O56" s="88"/>
      <c r="P56" s="63"/>
    </row>
    <row r="57" spans="2:16" ht="16.149999999999999" customHeight="1" thickBot="1" x14ac:dyDescent="0.3">
      <c r="B57" s="199"/>
      <c r="C57" s="592" t="s">
        <v>177</v>
      </c>
      <c r="D57" s="719"/>
      <c r="E57" s="719"/>
      <c r="F57" s="593"/>
      <c r="G57" s="276">
        <f>M56</f>
        <v>0</v>
      </c>
      <c r="H57" s="189">
        <f>G57*16800</f>
        <v>0</v>
      </c>
      <c r="I57" s="266"/>
      <c r="J57" s="104" t="s">
        <v>172</v>
      </c>
      <c r="K57" s="94"/>
      <c r="L57" s="95" t="s">
        <v>175</v>
      </c>
      <c r="M57" s="95" t="s">
        <v>175</v>
      </c>
      <c r="N57" s="88"/>
      <c r="O57" s="88"/>
      <c r="P57" s="63"/>
    </row>
    <row r="58" spans="2:16" ht="16.149999999999999" customHeight="1" x14ac:dyDescent="0.25">
      <c r="B58" s="199"/>
      <c r="C58" s="713" t="s">
        <v>274</v>
      </c>
      <c r="D58" s="714"/>
      <c r="E58" s="714"/>
      <c r="F58" s="714"/>
      <c r="G58" s="180"/>
      <c r="H58" s="172">
        <f>O68</f>
        <v>0</v>
      </c>
      <c r="I58" s="266"/>
      <c r="J58" s="243" t="s">
        <v>24</v>
      </c>
      <c r="K58" s="94"/>
      <c r="L58" s="221" t="s">
        <v>24</v>
      </c>
      <c r="M58" s="221" t="s">
        <v>24</v>
      </c>
      <c r="N58" s="88"/>
      <c r="O58" s="88"/>
      <c r="P58" s="63"/>
    </row>
    <row r="59" spans="2:16" x14ac:dyDescent="0.25">
      <c r="B59" s="199"/>
      <c r="C59" s="759" t="s">
        <v>275</v>
      </c>
      <c r="D59" s="760"/>
      <c r="E59" s="760"/>
      <c r="F59" s="760"/>
      <c r="G59" s="110"/>
      <c r="H59" s="106">
        <f>O69</f>
        <v>0</v>
      </c>
      <c r="I59" s="266"/>
      <c r="J59" s="104" t="s">
        <v>173</v>
      </c>
      <c r="K59" s="94"/>
      <c r="L59" s="96"/>
      <c r="M59" s="96"/>
      <c r="N59" s="88"/>
      <c r="O59" s="88"/>
      <c r="P59" s="63"/>
    </row>
    <row r="60" spans="2:16" ht="15.6" customHeight="1" thickBot="1" x14ac:dyDescent="0.3">
      <c r="B60" s="199"/>
      <c r="C60" s="761" t="s">
        <v>292</v>
      </c>
      <c r="D60" s="762"/>
      <c r="E60" s="762"/>
      <c r="F60" s="762"/>
      <c r="G60" s="181"/>
      <c r="H60" s="174">
        <f>O70</f>
        <v>0</v>
      </c>
      <c r="I60" s="266"/>
      <c r="J60" s="243" t="s">
        <v>24</v>
      </c>
      <c r="K60" s="94"/>
      <c r="L60" s="94"/>
      <c r="M60" s="94"/>
      <c r="N60" s="88"/>
      <c r="O60" s="88"/>
      <c r="P60" s="63"/>
    </row>
    <row r="61" spans="2:16" ht="15.6" customHeight="1" thickBot="1" x14ac:dyDescent="0.3">
      <c r="B61" s="199"/>
      <c r="C61" s="594" t="s">
        <v>170</v>
      </c>
      <c r="D61" s="763"/>
      <c r="E61" s="763"/>
      <c r="F61" s="595"/>
      <c r="G61" s="277"/>
      <c r="H61" s="278">
        <f>L32</f>
        <v>0</v>
      </c>
      <c r="I61" s="266"/>
      <c r="J61" s="764" t="s">
        <v>258</v>
      </c>
      <c r="K61" s="656"/>
      <c r="L61" s="656"/>
      <c r="M61" s="656"/>
      <c r="N61" s="88"/>
      <c r="O61" s="88"/>
      <c r="P61" s="63"/>
    </row>
    <row r="62" spans="2:16" ht="45" customHeight="1" thickBot="1" x14ac:dyDescent="0.3">
      <c r="B62" s="65"/>
      <c r="C62" s="265"/>
      <c r="D62" s="265"/>
      <c r="E62" s="265"/>
      <c r="F62" s="265"/>
      <c r="G62" s="265"/>
      <c r="H62" s="265"/>
      <c r="I62" s="63"/>
      <c r="J62" s="764"/>
      <c r="K62" s="656"/>
      <c r="L62" s="656"/>
      <c r="M62" s="656"/>
      <c r="N62" s="88"/>
      <c r="O62" s="88"/>
      <c r="P62" s="63"/>
    </row>
    <row r="63" spans="2:16" ht="14.45" customHeight="1" thickBot="1" x14ac:dyDescent="0.3">
      <c r="B63" s="65"/>
      <c r="C63" s="596" t="s">
        <v>183</v>
      </c>
      <c r="D63" s="597"/>
      <c r="E63" s="597"/>
      <c r="F63" s="597"/>
      <c r="G63" s="598"/>
      <c r="H63" s="184" t="e">
        <f>SUM(H42:H61)</f>
        <v>#REF!</v>
      </c>
      <c r="I63" s="63"/>
      <c r="J63" s="764"/>
      <c r="K63" s="656"/>
      <c r="L63" s="656"/>
      <c r="M63" s="656"/>
      <c r="N63" s="88"/>
      <c r="O63" s="88"/>
      <c r="P63" s="63"/>
    </row>
    <row r="64" spans="2:16" ht="15.75" thickBot="1" x14ac:dyDescent="0.3">
      <c r="B64" s="65"/>
      <c r="C64" s="88"/>
      <c r="D64" s="88"/>
      <c r="E64" s="88"/>
      <c r="F64" s="88"/>
      <c r="G64" s="88"/>
      <c r="H64" s="88"/>
      <c r="I64" s="63"/>
      <c r="J64" s="765"/>
      <c r="K64" s="766"/>
      <c r="L64" s="766"/>
      <c r="M64" s="766"/>
      <c r="N64" s="88"/>
      <c r="O64" s="88"/>
      <c r="P64" s="63"/>
    </row>
    <row r="65" spans="2:17" ht="14.45" customHeight="1" x14ac:dyDescent="0.2">
      <c r="B65" s="756" t="s">
        <v>286</v>
      </c>
      <c r="C65" s="757"/>
      <c r="D65" s="757"/>
      <c r="E65" s="268"/>
      <c r="F65" s="268"/>
      <c r="G65" s="757" t="s">
        <v>285</v>
      </c>
      <c r="H65" s="757"/>
      <c r="I65" s="757"/>
      <c r="J65" s="758" t="s">
        <v>290</v>
      </c>
      <c r="K65" s="758"/>
      <c r="L65" s="758"/>
      <c r="M65" s="758"/>
      <c r="N65" s="758"/>
      <c r="O65" s="758"/>
      <c r="P65" s="269"/>
    </row>
    <row r="66" spans="2:17" ht="14.45" customHeight="1" x14ac:dyDescent="0.25">
      <c r="B66" s="65"/>
      <c r="C66" s="88"/>
      <c r="D66" s="88"/>
      <c r="E66" s="88"/>
      <c r="F66" s="88"/>
      <c r="G66" s="88"/>
      <c r="H66" s="88"/>
      <c r="I66" s="88"/>
      <c r="J66" s="274"/>
      <c r="K66" s="274"/>
      <c r="L66" s="601" t="s">
        <v>299</v>
      </c>
      <c r="M66" s="601"/>
      <c r="N66" s="601"/>
      <c r="O66" s="601"/>
      <c r="P66" s="63"/>
      <c r="Q66" s="287"/>
    </row>
    <row r="67" spans="2:17" ht="14.45" customHeight="1" x14ac:dyDescent="0.25">
      <c r="B67" s="65"/>
      <c r="C67" s="88"/>
      <c r="D67" s="88"/>
      <c r="E67" s="88"/>
      <c r="F67" s="88"/>
      <c r="G67" s="88"/>
      <c r="H67" s="88"/>
      <c r="I67" s="88"/>
      <c r="J67" s="275" t="s">
        <v>289</v>
      </c>
      <c r="K67" s="291" t="s">
        <v>300</v>
      </c>
      <c r="L67" s="283" t="s">
        <v>293</v>
      </c>
      <c r="M67" s="283" t="s">
        <v>294</v>
      </c>
      <c r="N67" s="283" t="s">
        <v>295</v>
      </c>
      <c r="O67" s="275" t="s">
        <v>296</v>
      </c>
      <c r="P67" s="63"/>
    </row>
    <row r="68" spans="2:17" x14ac:dyDescent="0.25">
      <c r="B68" s="65"/>
      <c r="C68" s="88"/>
      <c r="D68" s="88"/>
      <c r="E68" s="88"/>
      <c r="F68" s="88"/>
      <c r="G68" s="88"/>
      <c r="H68" s="88"/>
      <c r="I68" s="298">
        <f>K68/1000*$C$5/1000*0.014*1800*IF(AND(P68&gt;=200,P68&lt;=1000,OR(L68&gt;=200,M68&gt;=200,N68&gt;=200)),COUNTIFS(L68:N68,"&gt;=200",L68:N68,"&lt;=1000"))+P68/1000*$C$5/1000*0.014*1800</f>
        <v>0</v>
      </c>
      <c r="J68" s="279" t="s">
        <v>271</v>
      </c>
      <c r="K68" s="280">
        <v>200</v>
      </c>
      <c r="L68" s="282">
        <v>0</v>
      </c>
      <c r="M68" s="282">
        <v>0</v>
      </c>
      <c r="N68" s="282">
        <v>0</v>
      </c>
      <c r="O68" s="279">
        <f>IF(AND(P68&gt;=200,P68&lt;=1000,OR(L68&gt;=200,M68&gt;=200,N68&gt;=200)),IF($D$4="по RAL",IF(AND(P68&gt;=200,P68&lt;=1000,OR(L68&gt;=200,M68&gt;=200,N68&gt;=200)),COUNTIFS(L68:N68,"&gt;=200",L68:N68,"&lt;=1000")*25000*1.5),IF(AND(P68&gt;=200,P68&lt;=1000,OR(L68&gt;=200,M68&gt;=200,N68&gt;=200)),COUNTIFS(L68:N68,"&gt;=200",L68:N68,"&lt;=1000")*25000)),0)</f>
        <v>0</v>
      </c>
      <c r="P68" s="286">
        <f>SUM(L68:N68)</f>
        <v>0</v>
      </c>
    </row>
    <row r="69" spans="2:17" x14ac:dyDescent="0.25">
      <c r="B69" s="65"/>
      <c r="C69" s="88"/>
      <c r="D69" s="88"/>
      <c r="E69" s="88"/>
      <c r="F69" s="88"/>
      <c r="G69" s="88"/>
      <c r="H69" s="88"/>
      <c r="I69" s="298">
        <f t="shared" ref="I69:I70" si="1">K69/1000*$C$5/1000*0.014*1800*IF(AND(P69&gt;=200,P69&lt;=1000,OR(L69&gt;=200,M69&gt;=200,N69&gt;=200)),COUNTIFS(L69:N69,"&gt;=200",L69:N69,"&lt;=1000"))+P69/1000*$C$5/1000*0.014*1800</f>
        <v>0</v>
      </c>
      <c r="J69" s="279" t="s">
        <v>272</v>
      </c>
      <c r="K69" s="280">
        <v>200</v>
      </c>
      <c r="L69" s="282">
        <v>0</v>
      </c>
      <c r="M69" s="282">
        <v>0</v>
      </c>
      <c r="N69" s="282">
        <v>0</v>
      </c>
      <c r="O69" s="279">
        <f>IF(AND(P69&gt;=200,P69&lt;=1000,OR(L69&gt;=200,M69&gt;=200,N69&gt;=200)),IF($D$4="по RAL",IF(AND(P69&gt;=200,P69&lt;=1000,OR(L69&gt;=200,M69&gt;=200,N69&gt;=200)),COUNTIFS(L69:N69,"&gt;=200",L69:N69,"&lt;=1000")*25000*1.5),IF(AND(P69&gt;=200,P69&lt;=1000,OR(L69&gt;=200,M69&gt;=200,N69&gt;=200)),COUNTIFS(L69:N69,"&gt;=200",L69:N69,"&lt;=1000")*25000)),0)</f>
        <v>0</v>
      </c>
      <c r="P69" s="286">
        <f t="shared" ref="P69:P70" si="2">SUM(L69:N69)</f>
        <v>0</v>
      </c>
    </row>
    <row r="70" spans="2:17" ht="14.45" customHeight="1" x14ac:dyDescent="0.25">
      <c r="B70" s="65"/>
      <c r="C70" s="88"/>
      <c r="D70" s="88"/>
      <c r="E70" s="88"/>
      <c r="F70" s="88"/>
      <c r="G70" s="88"/>
      <c r="H70" s="88"/>
      <c r="I70" s="298">
        <f t="shared" si="1"/>
        <v>0</v>
      </c>
      <c r="J70" s="279" t="s">
        <v>291</v>
      </c>
      <c r="K70" s="280">
        <v>200</v>
      </c>
      <c r="L70" s="282">
        <v>0</v>
      </c>
      <c r="M70" s="282">
        <v>0</v>
      </c>
      <c r="N70" s="282">
        <v>0</v>
      </c>
      <c r="O70" s="279">
        <f>IF(AND(P70&gt;=200,P70&lt;=1000,OR(L70&gt;=200,M70&gt;=200,N70&gt;=200)),IF($D$4="по RAL",IF(AND(P70&gt;=200,P70&lt;=1000,OR(L70&gt;=200,M70&gt;=200,N70&gt;=200)),COUNTIFS(L70:N70,"&gt;=200",L70:N70,"&lt;=1000")*25000*1.5),IF(AND(P70&gt;=200,P70&lt;=1000,OR(L70&gt;=200,M70&gt;=200,N70&gt;=200)),COUNTIFS(L70:N70,"&gt;=200",L70:N70,"&lt;=1000")*25000)),0)</f>
        <v>0</v>
      </c>
      <c r="P70" s="286">
        <f t="shared" si="2"/>
        <v>0</v>
      </c>
    </row>
    <row r="71" spans="2:17" ht="12.6" customHeight="1" x14ac:dyDescent="0.25">
      <c r="B71" s="65"/>
      <c r="C71" s="88"/>
      <c r="D71" s="88"/>
      <c r="E71" s="88"/>
      <c r="F71" s="88"/>
      <c r="G71" s="88"/>
      <c r="H71" s="88"/>
      <c r="I71" s="88"/>
      <c r="J71" s="254"/>
      <c r="K71" s="273" t="s">
        <v>288</v>
      </c>
      <c r="L71" s="254"/>
      <c r="M71" s="254"/>
      <c r="N71" s="254"/>
      <c r="O71" s="254"/>
      <c r="P71" s="271"/>
    </row>
    <row r="72" spans="2:17" ht="14.45" customHeight="1" x14ac:dyDescent="0.2">
      <c r="B72" s="65"/>
      <c r="C72" s="88"/>
      <c r="D72" s="88"/>
      <c r="E72" s="88"/>
      <c r="F72" s="88"/>
      <c r="G72" s="88"/>
      <c r="H72" s="88"/>
      <c r="I72" s="88"/>
      <c r="J72" s="284"/>
      <c r="K72" s="284"/>
      <c r="L72" s="284"/>
      <c r="M72" s="254"/>
      <c r="N72" s="602" t="s">
        <v>302</v>
      </c>
      <c r="O72" s="602"/>
      <c r="P72" s="603"/>
    </row>
    <row r="73" spans="2:17" x14ac:dyDescent="0.2">
      <c r="B73" s="65"/>
      <c r="C73" s="88"/>
      <c r="D73" s="88"/>
      <c r="E73" s="88"/>
      <c r="F73" s="88"/>
      <c r="G73" s="88"/>
      <c r="H73" s="88"/>
      <c r="I73" s="88"/>
      <c r="J73" s="284"/>
      <c r="K73" s="284"/>
      <c r="L73" s="284"/>
      <c r="M73" s="254"/>
      <c r="N73" s="602"/>
      <c r="O73" s="602"/>
      <c r="P73" s="603"/>
    </row>
    <row r="74" spans="2:17" x14ac:dyDescent="0.2">
      <c r="B74" s="65"/>
      <c r="C74" s="88"/>
      <c r="D74" s="88"/>
      <c r="E74" s="88"/>
      <c r="F74" s="88"/>
      <c r="G74" s="88"/>
      <c r="H74" s="88"/>
      <c r="I74" s="88"/>
      <c r="J74" s="284"/>
      <c r="K74" s="284"/>
      <c r="L74" s="284"/>
      <c r="M74" s="254"/>
      <c r="N74" s="602"/>
      <c r="O74" s="602"/>
      <c r="P74" s="603"/>
    </row>
    <row r="75" spans="2:17" x14ac:dyDescent="0.2">
      <c r="B75" s="65"/>
      <c r="C75" s="88"/>
      <c r="D75" s="88"/>
      <c r="E75" s="88"/>
      <c r="F75" s="88"/>
      <c r="G75" s="88"/>
      <c r="H75" s="88"/>
      <c r="I75" s="88"/>
      <c r="J75" s="284"/>
      <c r="K75" s="284"/>
      <c r="L75" s="284"/>
      <c r="M75" s="254"/>
      <c r="N75" s="602"/>
      <c r="O75" s="602"/>
      <c r="P75" s="603"/>
    </row>
    <row r="76" spans="2:17" x14ac:dyDescent="0.2">
      <c r="B76" s="65"/>
      <c r="C76" s="88"/>
      <c r="D76" s="88"/>
      <c r="E76" s="88"/>
      <c r="F76" s="88"/>
      <c r="G76" s="88"/>
      <c r="H76" s="88"/>
      <c r="I76" s="88"/>
      <c r="J76" s="284"/>
      <c r="K76" s="284"/>
      <c r="L76" s="284"/>
      <c r="M76" s="254"/>
      <c r="N76" s="602"/>
      <c r="O76" s="602"/>
      <c r="P76" s="603"/>
    </row>
    <row r="77" spans="2:17" x14ac:dyDescent="0.2">
      <c r="B77" s="65"/>
      <c r="C77" s="88"/>
      <c r="D77" s="88"/>
      <c r="E77" s="88"/>
      <c r="F77" s="88"/>
      <c r="G77" s="88"/>
      <c r="H77" s="88"/>
      <c r="I77" s="88"/>
      <c r="J77" s="284"/>
      <c r="K77" s="284"/>
      <c r="L77" s="284"/>
      <c r="M77" s="254"/>
      <c r="N77" s="602"/>
      <c r="O77" s="602"/>
      <c r="P77" s="603"/>
    </row>
    <row r="78" spans="2:17" x14ac:dyDescent="0.2">
      <c r="B78" s="65"/>
      <c r="C78" s="88"/>
      <c r="D78" s="88"/>
      <c r="E78" s="88"/>
      <c r="F78" s="88"/>
      <c r="G78" s="88"/>
      <c r="H78" s="88"/>
      <c r="I78" s="88"/>
      <c r="J78" s="284"/>
      <c r="K78" s="284"/>
      <c r="L78" s="284"/>
      <c r="M78" s="251"/>
      <c r="N78" s="602"/>
      <c r="O78" s="602"/>
      <c r="P78" s="603"/>
    </row>
    <row r="79" spans="2:17" x14ac:dyDescent="0.2">
      <c r="B79" s="65"/>
      <c r="C79" s="88"/>
      <c r="D79" s="88"/>
      <c r="E79" s="88"/>
      <c r="F79" s="88"/>
      <c r="G79" s="88"/>
      <c r="H79" s="88"/>
      <c r="I79" s="88"/>
      <c r="J79" s="284"/>
      <c r="K79" s="284"/>
      <c r="L79" s="284"/>
      <c r="M79" s="251"/>
      <c r="N79" s="602"/>
      <c r="O79" s="602"/>
      <c r="P79" s="603"/>
    </row>
    <row r="80" spans="2:17" x14ac:dyDescent="0.2">
      <c r="B80" s="65"/>
      <c r="C80" s="88"/>
      <c r="D80" s="88"/>
      <c r="E80" s="88"/>
      <c r="F80" s="88"/>
      <c r="G80" s="88"/>
      <c r="H80" s="88"/>
      <c r="I80" s="88"/>
      <c r="J80" s="284"/>
      <c r="K80" s="284"/>
      <c r="L80" s="284"/>
      <c r="M80" s="251"/>
      <c r="N80" s="602"/>
      <c r="O80" s="602"/>
      <c r="P80" s="603"/>
    </row>
    <row r="81" spans="2:17" x14ac:dyDescent="0.25">
      <c r="B81" s="65"/>
      <c r="C81" s="88"/>
      <c r="D81" s="88"/>
      <c r="E81" s="88"/>
      <c r="F81" s="88"/>
      <c r="G81" s="88"/>
      <c r="H81" s="88"/>
      <c r="I81" s="88"/>
      <c r="J81" s="251"/>
      <c r="K81" s="251"/>
      <c r="L81" s="251"/>
      <c r="M81" s="251"/>
      <c r="N81" s="602"/>
      <c r="O81" s="602"/>
      <c r="P81" s="603"/>
      <c r="Q81"/>
    </row>
    <row r="82" spans="2:17" x14ac:dyDescent="0.25">
      <c r="B82" s="65"/>
      <c r="C82" s="88"/>
      <c r="D82" s="88"/>
      <c r="E82" s="88"/>
      <c r="F82" s="88"/>
      <c r="G82" s="88"/>
      <c r="H82" s="88"/>
      <c r="I82" s="88"/>
      <c r="J82" s="251"/>
      <c r="K82" s="251"/>
      <c r="L82" s="251"/>
      <c r="M82" s="251"/>
      <c r="N82" s="602"/>
      <c r="O82" s="602"/>
      <c r="P82" s="603"/>
    </row>
    <row r="83" spans="2:17" x14ac:dyDescent="0.25">
      <c r="B83" s="65"/>
      <c r="C83" s="88"/>
      <c r="D83" s="88"/>
      <c r="E83" s="88"/>
      <c r="F83" s="88"/>
      <c r="G83" s="88"/>
      <c r="H83" s="88"/>
      <c r="I83" s="88"/>
      <c r="J83" s="251"/>
      <c r="K83" s="251"/>
      <c r="L83" s="251"/>
      <c r="M83" s="251"/>
      <c r="N83" s="602"/>
      <c r="O83" s="602"/>
      <c r="P83" s="603"/>
    </row>
    <row r="84" spans="2:17" x14ac:dyDescent="0.25">
      <c r="B84" s="65"/>
      <c r="C84" s="88"/>
      <c r="D84" s="88"/>
      <c r="E84" s="88"/>
      <c r="F84" s="88"/>
      <c r="G84" s="88"/>
      <c r="H84" s="88"/>
      <c r="I84" s="88"/>
      <c r="J84" s="251"/>
      <c r="K84" s="251"/>
      <c r="L84" s="251"/>
      <c r="M84" s="251"/>
      <c r="N84" s="602"/>
      <c r="O84" s="602"/>
      <c r="P84" s="603"/>
    </row>
    <row r="85" spans="2:17" x14ac:dyDescent="0.25">
      <c r="B85" s="65"/>
      <c r="C85" s="88"/>
      <c r="D85" s="88"/>
      <c r="E85" s="88"/>
      <c r="F85" s="88"/>
      <c r="G85" s="88"/>
      <c r="H85" s="88"/>
      <c r="I85" s="88"/>
      <c r="J85" s="251"/>
      <c r="K85" s="251"/>
      <c r="L85" s="251"/>
      <c r="M85" s="251"/>
      <c r="N85" s="602"/>
      <c r="O85" s="602"/>
      <c r="P85" s="603"/>
    </row>
    <row r="86" spans="2:17" x14ac:dyDescent="0.25">
      <c r="B86" s="65"/>
      <c r="C86" s="88"/>
      <c r="D86" s="88"/>
      <c r="E86" s="88"/>
      <c r="F86" s="88"/>
      <c r="G86" s="88"/>
      <c r="H86" s="88"/>
      <c r="I86" s="88"/>
      <c r="J86" s="270"/>
      <c r="K86" s="270"/>
      <c r="L86" s="270"/>
      <c r="M86" s="272"/>
      <c r="N86" s="272"/>
      <c r="O86" s="272"/>
      <c r="P86" s="63"/>
    </row>
    <row r="87" spans="2:17" x14ac:dyDescent="0.25">
      <c r="B87" s="65"/>
      <c r="C87" s="88"/>
      <c r="D87" s="88"/>
      <c r="E87" s="88"/>
      <c r="F87" s="88"/>
      <c r="G87" s="88"/>
      <c r="H87" s="88"/>
      <c r="I87" s="88"/>
      <c r="J87" s="251"/>
      <c r="K87" s="251"/>
      <c r="L87" s="251"/>
      <c r="M87" s="251"/>
      <c r="N87" s="251"/>
      <c r="O87" s="88"/>
      <c r="P87" s="63"/>
    </row>
    <row r="88" spans="2:17" ht="14.45" customHeight="1" x14ac:dyDescent="0.25">
      <c r="B88" s="65"/>
      <c r="C88" s="88"/>
      <c r="D88" s="88"/>
      <c r="E88" s="88"/>
      <c r="F88" s="88"/>
      <c r="G88" s="88"/>
      <c r="H88" s="88"/>
      <c r="I88" s="88"/>
      <c r="J88" s="251"/>
      <c r="K88" s="251"/>
      <c r="L88" s="251"/>
      <c r="M88" s="272"/>
      <c r="N88" s="272"/>
      <c r="O88" s="272"/>
      <c r="P88" s="63"/>
    </row>
    <row r="89" spans="2:17" ht="14.45" customHeight="1" x14ac:dyDescent="0.25">
      <c r="B89" s="65"/>
      <c r="C89" s="88"/>
      <c r="D89" s="88"/>
      <c r="E89" s="88"/>
      <c r="F89" s="88"/>
      <c r="G89" s="88"/>
      <c r="H89" s="88"/>
      <c r="I89" s="88"/>
      <c r="J89" s="251"/>
      <c r="K89" s="251"/>
      <c r="L89" s="251"/>
      <c r="M89" s="252"/>
      <c r="N89" s="252"/>
      <c r="O89" s="88"/>
      <c r="P89" s="63"/>
    </row>
    <row r="90" spans="2:17" x14ac:dyDescent="0.25">
      <c r="B90" s="65"/>
      <c r="C90" s="88"/>
      <c r="D90" s="88"/>
      <c r="E90" s="88"/>
      <c r="F90" s="88"/>
      <c r="G90" s="88"/>
      <c r="H90" s="88"/>
      <c r="I90" s="88"/>
      <c r="J90" s="252"/>
      <c r="K90" s="252"/>
      <c r="L90" s="252"/>
      <c r="M90" s="252"/>
      <c r="N90" s="252"/>
      <c r="O90" s="88"/>
      <c r="P90" s="63"/>
    </row>
    <row r="91" spans="2:17" ht="14.45" customHeight="1" x14ac:dyDescent="0.25">
      <c r="B91" s="65"/>
      <c r="C91" s="88"/>
      <c r="D91" s="88"/>
      <c r="E91" s="88"/>
      <c r="F91" s="88"/>
      <c r="G91" s="88"/>
      <c r="H91" s="88"/>
      <c r="I91" s="88"/>
      <c r="J91" s="604"/>
      <c r="K91" s="604"/>
      <c r="L91" s="252"/>
      <c r="M91" s="251"/>
      <c r="N91" s="605" t="s">
        <v>298</v>
      </c>
      <c r="O91" s="605" t="s">
        <v>297</v>
      </c>
      <c r="P91" s="285"/>
    </row>
    <row r="92" spans="2:17" ht="15.75" thickBot="1" x14ac:dyDescent="0.3">
      <c r="B92" s="74"/>
      <c r="C92" s="75"/>
      <c r="D92" s="75"/>
      <c r="E92" s="75"/>
      <c r="F92" s="75"/>
      <c r="G92" s="75"/>
      <c r="H92" s="75"/>
      <c r="I92" s="75"/>
      <c r="J92" s="248"/>
      <c r="K92" s="248"/>
      <c r="L92" s="248"/>
      <c r="M92" s="248"/>
      <c r="N92" s="606"/>
      <c r="O92" s="606"/>
      <c r="P92" s="76"/>
    </row>
    <row r="95" spans="2:17" x14ac:dyDescent="0.25">
      <c r="J95" s="281"/>
    </row>
  </sheetData>
  <mergeCells count="81">
    <mergeCell ref="J91:K91"/>
    <mergeCell ref="B65:D65"/>
    <mergeCell ref="G65:I65"/>
    <mergeCell ref="J65:O65"/>
    <mergeCell ref="C59:F59"/>
    <mergeCell ref="C60:F60"/>
    <mergeCell ref="C63:G63"/>
    <mergeCell ref="N72:P85"/>
    <mergeCell ref="N91:N92"/>
    <mergeCell ref="O91:O92"/>
    <mergeCell ref="L66:O66"/>
    <mergeCell ref="C61:F61"/>
    <mergeCell ref="J61:M64"/>
    <mergeCell ref="B35:I35"/>
    <mergeCell ref="J35:P35"/>
    <mergeCell ref="J36:J37"/>
    <mergeCell ref="J48:M48"/>
    <mergeCell ref="C49:F49"/>
    <mergeCell ref="C45:F45"/>
    <mergeCell ref="J46:M46"/>
    <mergeCell ref="D46:F46"/>
    <mergeCell ref="C38:F38"/>
    <mergeCell ref="C39:F39"/>
    <mergeCell ref="C40:F40"/>
    <mergeCell ref="C41:F41"/>
    <mergeCell ref="C42:F42"/>
    <mergeCell ref="N41:P43"/>
    <mergeCell ref="C51:F51"/>
    <mergeCell ref="C52:F52"/>
    <mergeCell ref="C53:F53"/>
    <mergeCell ref="C54:F54"/>
    <mergeCell ref="G54:H54"/>
    <mergeCell ref="N30:O30"/>
    <mergeCell ref="J31:K31"/>
    <mergeCell ref="B32:C34"/>
    <mergeCell ref="D32:G34"/>
    <mergeCell ref="J32:M34"/>
    <mergeCell ref="H33:I34"/>
    <mergeCell ref="N51:P53"/>
    <mergeCell ref="J44:M44"/>
    <mergeCell ref="K36:K37"/>
    <mergeCell ref="L36:L37"/>
    <mergeCell ref="M36:M37"/>
    <mergeCell ref="J50:M50"/>
    <mergeCell ref="J52:M52"/>
    <mergeCell ref="C58:F58"/>
    <mergeCell ref="J23:K23"/>
    <mergeCell ref="J24:K24"/>
    <mergeCell ref="B25:C26"/>
    <mergeCell ref="D25:D26"/>
    <mergeCell ref="G25:H26"/>
    <mergeCell ref="I25:I26"/>
    <mergeCell ref="J54:M54"/>
    <mergeCell ref="C55:F55"/>
    <mergeCell ref="C56:F56"/>
    <mergeCell ref="C57:F57"/>
    <mergeCell ref="C43:F43"/>
    <mergeCell ref="C44:F44"/>
    <mergeCell ref="C50:F50"/>
    <mergeCell ref="D47:F47"/>
    <mergeCell ref="D48:F48"/>
    <mergeCell ref="B1:I1"/>
    <mergeCell ref="J1:P1"/>
    <mergeCell ref="J3:L4"/>
    <mergeCell ref="J5:L5"/>
    <mergeCell ref="B6:C6"/>
    <mergeCell ref="J6:K6"/>
    <mergeCell ref="C7:D7"/>
    <mergeCell ref="G7:I8"/>
    <mergeCell ref="J8:L9"/>
    <mergeCell ref="B9:D9"/>
    <mergeCell ref="G9:I9"/>
    <mergeCell ref="J7:K7"/>
    <mergeCell ref="J21:M22"/>
    <mergeCell ref="J10:L10"/>
    <mergeCell ref="J12:K12"/>
    <mergeCell ref="J13:L14"/>
    <mergeCell ref="J17:M18"/>
    <mergeCell ref="J19:K19"/>
    <mergeCell ref="L19:M19"/>
    <mergeCell ref="J11:K11"/>
  </mergeCells>
  <phoneticPr fontId="53" type="noConversion"/>
  <dataValidations count="4">
    <dataValidation type="whole" errorStyle="information" allowBlank="1" showInputMessage="1" showErrorMessage="1" errorTitle="Недопустимое значение" error="Открытая полка может быть высотой от 200 до 400 мм и равна высоте фронтального фартука" sqref="K68:K70" xr:uid="{75502686-CFA0-478F-B922-7D522EC86C85}">
      <formula1>200</formula1>
      <formula2>400</formula2>
    </dataValidation>
    <dataValidation type="decimal" allowBlank="1" showInputMessage="1" showErrorMessage="1" sqref="J49:L49" xr:uid="{0D34BDA1-526A-4ECF-9A8D-96F73588D863}">
      <formula1>0</formula1>
      <formula2>400</formula2>
    </dataValidation>
    <dataValidation type="decimal" allowBlank="1" showInputMessage="1" showErrorMessage="1" errorTitle="Недопустимое значение" error="Превышена максимальная высота 400 мм" sqref="J47:M47" xr:uid="{9297513F-BB42-4F29-9DA4-DE4FC1A01C4A}">
      <formula1>0</formula1>
      <formula2>400</formula2>
    </dataValidation>
    <dataValidation type="whole" errorStyle="information" allowBlank="1" showInputMessage="1" showErrorMessage="1" errorTitle="Недопустимое значение" error="Ширина открытой полки может быть от 200 до 1000 мм" sqref="L68:N70" xr:uid="{0204CEF7-2C82-44F6-A4A2-6935D28AA48F}">
      <formula1>200</formula1>
      <formula2>1000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firstPageNumber="2147483648" fitToHeight="0" orientation="landscape" r:id="rId1"/>
  <rowBreaks count="1" manualBreakCount="1">
    <brk id="34" max="16383" man="1"/>
  </rowBreaks>
  <ignoredErrors>
    <ignoredError sqref="H4:H6" unlockedFormula="1"/>
    <ignoredError sqref="M27:M28" formula="1"/>
    <ignoredError sqref="O68:O70" formulaRange="1"/>
    <ignoredError sqref="P68:P70" formulaRange="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1018711B-0268-4924-AB45-85591786B543}">
          <x14:formula1>
            <xm:f>Списки!$B$73:$B$113</xm:f>
          </x14:formula1>
          <xm:sqref>H10 H20 H15</xm:sqref>
        </x14:dataValidation>
        <x14:dataValidation type="list" allowBlank="1" showInputMessage="1" showErrorMessage="1" xr:uid="{1D26C89B-3760-4171-BB1D-00542C5A42B7}">
          <x14:formula1>
            <xm:f>RAL!$B$3:$B$4</xm:f>
          </x14:formula1>
          <xm:sqref>E4</xm:sqref>
        </x14:dataValidation>
        <x14:dataValidation type="list" allowBlank="1" showInputMessage="1" showErrorMessage="1" xr:uid="{5DAF99F4-F721-4871-9FEF-82CE85CD66C2}">
          <x14:formula1>
            <xm:f>Списки!$B$25:$B$26</xm:f>
          </x14:formula1>
          <xm:sqref>C12 C17 C22</xm:sqref>
        </x14:dataValidation>
        <x14:dataValidation type="list" allowBlank="1" showInputMessage="1" showErrorMessage="1" xr:uid="{30854645-441F-4582-95AB-7757ACF74862}">
          <x14:formula1>
            <xm:f>Списки!$B$28:$B$30</xm:f>
          </x14:formula1>
          <xm:sqref>C13 H13 H23 H18 C18 C23</xm:sqref>
        </x14:dataValidation>
        <x14:dataValidation type="list" allowBlank="1" showInputMessage="1" showErrorMessage="1" xr:uid="{8878E73C-01C6-4CF5-BE70-732A08AD9F5A}">
          <x14:formula1>
            <xm:f>Списки!$B$32:$B$33</xm:f>
          </x14:formula1>
          <xm:sqref>C11 D4 H17 H22 H12 C16 C21</xm:sqref>
        </x14:dataValidation>
        <x14:dataValidation type="list" allowBlank="1" showInputMessage="1" showErrorMessage="1" xr:uid="{C044A1CF-2592-4645-A84D-10C9C0560298}">
          <x14:formula1>
            <xm:f>Списки!$B$68:$B$69</xm:f>
          </x14:formula1>
          <xm:sqref>L31</xm:sqref>
        </x14:dataValidation>
        <x14:dataValidation type="list" allowBlank="1" showInputMessage="1" showErrorMessage="1" xr:uid="{25E41053-1E7A-47F1-ADAB-D32D1F158815}">
          <x14:formula1>
            <xm:f>Списки!$A$72:$A$74</xm:f>
          </x14:formula1>
          <xm:sqref>H11 H21 H16</xm:sqref>
        </x14:dataValidation>
        <x14:dataValidation type="list" allowBlank="1" showInputMessage="1" showErrorMessage="1" xr:uid="{05D88BA6-23C8-4193-8877-8539DA612705}">
          <x14:formula1>
            <xm:f>Списки!$E$20:$E$22</xm:f>
          </x14:formula1>
          <xm:sqref>L19:M19</xm:sqref>
        </x14:dataValidation>
        <x14:dataValidation type="list" allowBlank="1" showInputMessage="1" showErrorMessage="1" xr:uid="{66DCBA7D-320E-4D95-A179-C0D321ABE1E8}">
          <x14:formula1>
            <xm:f>Списки!$A$72:$A$73</xm:f>
          </x14:formula1>
          <xm:sqref>C2</xm:sqref>
        </x14:dataValidation>
        <x14:dataValidation type="list" allowBlank="1" showInputMessage="1" showErrorMessage="1" xr:uid="{2F94695B-125C-4829-9A46-0285DB33C53D}">
          <x14:formula1>
            <xm:f>Списки!#REF!</xm:f>
          </x14:formula1>
          <xm:sqref>C10 C15 C20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CB72-F1E4-4D7B-8971-4B3F3DD8C130}">
  <sheetPr>
    <tabColor theme="7"/>
  </sheetPr>
  <dimension ref="A1:AO116"/>
  <sheetViews>
    <sheetView zoomScale="70" zoomScaleNormal="70" zoomScaleSheetLayoutView="81" zoomScalePageLayoutView="82" workbookViewId="0">
      <selection activeCell="R32" sqref="R32"/>
    </sheetView>
  </sheetViews>
  <sheetFormatPr defaultColWidth="8.85546875" defaultRowHeight="15" x14ac:dyDescent="0.25"/>
  <cols>
    <col min="1" max="1" width="40.5703125" style="1" customWidth="1"/>
    <col min="2" max="2" width="18.7109375" style="1" customWidth="1"/>
    <col min="3" max="3" width="18.42578125" style="1" customWidth="1"/>
    <col min="4" max="4" width="18.5703125" style="1" customWidth="1"/>
    <col min="5" max="5" width="21.7109375" style="1" customWidth="1"/>
    <col min="6" max="6" width="25.28515625" style="1" customWidth="1"/>
    <col min="7" max="8" width="3.28515625" style="1" customWidth="1"/>
    <col min="9" max="12" width="21.28515625" style="1" customWidth="1"/>
    <col min="13" max="13" width="19.7109375" style="1" customWidth="1"/>
    <col min="14" max="14" width="14.7109375" style="1" customWidth="1"/>
    <col min="15" max="15" width="16.28515625" style="1" customWidth="1"/>
    <col min="16" max="16384" width="8.85546875" style="1"/>
  </cols>
  <sheetData>
    <row r="1" spans="1:41" s="5" customFormat="1" ht="28.9" customHeight="1" x14ac:dyDescent="0.25">
      <c r="A1" s="544" t="s">
        <v>34</v>
      </c>
      <c r="B1" s="545"/>
      <c r="C1" s="545"/>
      <c r="D1" s="545"/>
      <c r="E1" s="545"/>
      <c r="F1" s="545"/>
      <c r="G1" s="546"/>
      <c r="H1" s="19"/>
      <c r="I1" s="545" t="s">
        <v>121</v>
      </c>
      <c r="J1" s="545"/>
      <c r="K1" s="545"/>
      <c r="L1" s="545"/>
      <c r="M1" s="545"/>
      <c r="N1" s="545"/>
      <c r="O1" s="546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s="5" customFormat="1" x14ac:dyDescent="0.25">
      <c r="A2" s="13" t="s">
        <v>1</v>
      </c>
      <c r="B2" s="56">
        <f>520*360*10*1985/1000000000*1.4+(B8+520+D8)*(C8+360+E8)*15*1985/1000000000+SUM(I17,J17,K17,L17)+(520*360*10*1985/1000000000*1.4)*E22+H34+H35+H36</f>
        <v>21.086059500000001</v>
      </c>
      <c r="C2" s="51" t="s">
        <v>133</v>
      </c>
      <c r="D2" s="52">
        <f>VLOOKUP(A8,Списки!B41:D47,2,FALSE)</f>
        <v>500</v>
      </c>
      <c r="F2" s="32" t="s">
        <v>116</v>
      </c>
      <c r="G2" s="30"/>
      <c r="H2" s="29"/>
      <c r="M2" s="117"/>
      <c r="N2" s="118"/>
      <c r="O2" s="8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s="5" customFormat="1" x14ac:dyDescent="0.25">
      <c r="A3" s="13" t="s">
        <v>6</v>
      </c>
      <c r="B3" s="55">
        <f>B8+D2+D8</f>
        <v>1000</v>
      </c>
      <c r="C3" s="51" t="s">
        <v>134</v>
      </c>
      <c r="D3" s="52">
        <f>VLOOKUP(A8,Списки!B41:D47,3,FALSE)</f>
        <v>340</v>
      </c>
      <c r="F3" s="33" t="s">
        <v>117</v>
      </c>
      <c r="G3" s="30"/>
      <c r="H3" s="29"/>
      <c r="I3" s="42" t="s">
        <v>102</v>
      </c>
      <c r="J3" s="42" t="s">
        <v>103</v>
      </c>
      <c r="K3" s="42" t="s">
        <v>104</v>
      </c>
      <c r="L3" s="43" t="s">
        <v>105</v>
      </c>
      <c r="M3" s="117"/>
      <c r="N3" s="118"/>
      <c r="O3" s="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s="5" customFormat="1" x14ac:dyDescent="0.25">
      <c r="A4" s="13" t="s">
        <v>7</v>
      </c>
      <c r="B4" s="55">
        <f>D3+C8+E8</f>
        <v>503</v>
      </c>
      <c r="C4" s="27" t="s">
        <v>136</v>
      </c>
      <c r="D4" s="299">
        <f>C11+F22+I19+J19+K19+L19+SUM(C15,C16,C17,C18,C19,C20)+C22+I22*16800+K22*16800+L22*16800+N34+N35+N36</f>
        <v>0</v>
      </c>
      <c r="F4" s="34" t="s">
        <v>118</v>
      </c>
      <c r="G4" s="30"/>
      <c r="H4" s="29"/>
      <c r="I4" s="777"/>
      <c r="J4" s="777"/>
      <c r="K4" s="777"/>
      <c r="L4" s="777"/>
      <c r="M4" s="119"/>
      <c r="N4" s="118"/>
      <c r="O4" s="8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s="5" customFormat="1" x14ac:dyDescent="0.25">
      <c r="A5" s="31" t="s">
        <v>131</v>
      </c>
      <c r="B5" s="681"/>
      <c r="C5" s="681"/>
      <c r="D5" s="681"/>
      <c r="G5" s="8"/>
      <c r="H5" s="9"/>
      <c r="I5" s="777"/>
      <c r="J5" s="777"/>
      <c r="K5" s="777"/>
      <c r="L5" s="777"/>
      <c r="M5" s="119"/>
      <c r="N5" s="118"/>
      <c r="O5" s="8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s="5" customFormat="1" x14ac:dyDescent="0.25">
      <c r="A6" s="9"/>
      <c r="G6" s="8"/>
      <c r="H6" s="9"/>
      <c r="I6" s="777"/>
      <c r="J6" s="777"/>
      <c r="K6" s="777"/>
      <c r="L6" s="777"/>
      <c r="M6" s="119"/>
      <c r="N6" s="118"/>
      <c r="O6" s="8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5" customFormat="1" ht="41.45" customHeight="1" x14ac:dyDescent="0.25">
      <c r="A7" s="14" t="s">
        <v>14</v>
      </c>
      <c r="B7" s="16" t="s">
        <v>81</v>
      </c>
      <c r="C7" s="16" t="s">
        <v>82</v>
      </c>
      <c r="D7" s="16" t="s">
        <v>83</v>
      </c>
      <c r="E7" s="16" t="s">
        <v>84</v>
      </c>
      <c r="F7" s="3" t="s">
        <v>16</v>
      </c>
      <c r="G7" s="35"/>
      <c r="H7" s="44"/>
      <c r="I7" s="777"/>
      <c r="J7" s="777"/>
      <c r="K7" s="777"/>
      <c r="L7" s="777"/>
      <c r="M7" s="647" t="s">
        <v>283</v>
      </c>
      <c r="N7" s="648"/>
      <c r="O7" s="75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s="5" customFormat="1" ht="16.899999999999999" customHeight="1" x14ac:dyDescent="0.25">
      <c r="A8" s="15" t="s">
        <v>132</v>
      </c>
      <c r="B8" s="21">
        <v>250</v>
      </c>
      <c r="C8" s="21">
        <v>63</v>
      </c>
      <c r="D8" s="21">
        <v>250</v>
      </c>
      <c r="E8" s="21">
        <v>100</v>
      </c>
      <c r="F8" s="6" t="s">
        <v>18</v>
      </c>
      <c r="G8" s="23"/>
      <c r="H8" s="24"/>
      <c r="I8" s="777"/>
      <c r="J8" s="777"/>
      <c r="K8" s="777"/>
      <c r="L8" s="777"/>
      <c r="M8" s="264"/>
      <c r="N8" s="262"/>
      <c r="O8" s="7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s="5" customFormat="1" ht="29.45" customHeight="1" x14ac:dyDescent="0.25">
      <c r="A9" s="682" t="s">
        <v>149</v>
      </c>
      <c r="B9" s="683"/>
      <c r="C9" s="683"/>
      <c r="D9" s="683"/>
      <c r="E9" s="684"/>
      <c r="F9" s="128"/>
      <c r="G9" s="25"/>
      <c r="H9" s="45"/>
      <c r="I9" s="777"/>
      <c r="J9" s="777"/>
      <c r="K9" s="777"/>
      <c r="L9" s="777"/>
      <c r="M9" s="264"/>
      <c r="N9" s="262"/>
      <c r="O9" s="7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ht="16.899999999999999" customHeight="1" x14ac:dyDescent="0.25">
      <c r="A10" s="685" t="s">
        <v>137</v>
      </c>
      <c r="B10" s="686"/>
      <c r="C10" s="686"/>
      <c r="D10" s="28"/>
      <c r="E10" s="28"/>
      <c r="F10" s="28"/>
      <c r="G10" s="8"/>
      <c r="H10" s="9"/>
      <c r="I10" s="777" t="s">
        <v>107</v>
      </c>
      <c r="J10" s="777"/>
      <c r="K10" s="777"/>
      <c r="L10" s="777"/>
      <c r="M10" s="119"/>
      <c r="N10" s="121"/>
      <c r="O10" s="8"/>
    </row>
    <row r="11" spans="1:41" ht="16.899999999999999" customHeight="1" x14ac:dyDescent="0.25">
      <c r="A11" s="687" t="s">
        <v>135</v>
      </c>
      <c r="B11" s="688"/>
      <c r="C11" s="22">
        <v>0</v>
      </c>
      <c r="D11" s="689" t="s">
        <v>180</v>
      </c>
      <c r="E11" s="690"/>
      <c r="F11" s="690"/>
      <c r="G11" s="36"/>
      <c r="H11" s="46"/>
      <c r="I11" s="40">
        <v>0</v>
      </c>
      <c r="J11" s="40">
        <v>0</v>
      </c>
      <c r="K11" s="40">
        <v>0</v>
      </c>
      <c r="L11" s="40">
        <v>0</v>
      </c>
      <c r="M11" s="263"/>
      <c r="N11" s="122"/>
      <c r="O11" s="60"/>
    </row>
    <row r="12" spans="1:41" s="2" customFormat="1" x14ac:dyDescent="0.25">
      <c r="A12" s="673"/>
      <c r="B12" s="674"/>
      <c r="C12" s="674"/>
      <c r="D12" s="5"/>
      <c r="E12" s="5"/>
      <c r="F12" s="5"/>
      <c r="G12" s="37"/>
      <c r="H12" s="47"/>
      <c r="I12" s="777" t="s">
        <v>106</v>
      </c>
      <c r="J12" s="777"/>
      <c r="K12" s="777"/>
      <c r="L12" s="777"/>
      <c r="M12" s="263"/>
      <c r="N12" s="122"/>
      <c r="O12" s="60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41" ht="21.6" customHeight="1" x14ac:dyDescent="0.25">
      <c r="A13" s="675" t="s">
        <v>147</v>
      </c>
      <c r="B13" s="676"/>
      <c r="C13" s="676"/>
      <c r="D13" s="5"/>
      <c r="E13" s="5"/>
      <c r="F13" s="5"/>
      <c r="G13" s="38"/>
      <c r="H13" s="48"/>
      <c r="I13" s="40">
        <v>0</v>
      </c>
      <c r="J13" s="40">
        <v>0</v>
      </c>
      <c r="K13" s="40">
        <v>0</v>
      </c>
      <c r="L13" s="40">
        <v>0</v>
      </c>
      <c r="M13" s="647" t="s">
        <v>282</v>
      </c>
      <c r="N13" s="648"/>
      <c r="O13" s="755"/>
    </row>
    <row r="14" spans="1:41" ht="14.45" customHeight="1" x14ac:dyDescent="0.25">
      <c r="A14" s="142" t="s">
        <v>16</v>
      </c>
      <c r="B14" s="136" t="s">
        <v>17</v>
      </c>
      <c r="C14" s="136" t="s">
        <v>15</v>
      </c>
      <c r="D14" s="5"/>
      <c r="E14" s="5"/>
      <c r="F14" s="5"/>
      <c r="G14" s="39"/>
      <c r="H14" s="49"/>
      <c r="I14" s="777" t="s">
        <v>108</v>
      </c>
      <c r="J14" s="777"/>
      <c r="K14" s="777"/>
      <c r="L14" s="777"/>
      <c r="M14" s="647"/>
      <c r="N14" s="648"/>
      <c r="O14" s="755"/>
    </row>
    <row r="15" spans="1:41" ht="14.45" customHeight="1" x14ac:dyDescent="0.2">
      <c r="A15" s="217" t="s">
        <v>144</v>
      </c>
      <c r="B15" s="143">
        <v>0</v>
      </c>
      <c r="C15" s="82">
        <f>B15*3700</f>
        <v>0</v>
      </c>
      <c r="E15" s="129"/>
      <c r="F15" s="129"/>
      <c r="G15" s="39"/>
      <c r="H15" s="49"/>
      <c r="I15" s="40"/>
      <c r="J15" s="40"/>
      <c r="K15" s="40"/>
      <c r="L15" s="40"/>
      <c r="M15" s="647"/>
      <c r="N15" s="648"/>
      <c r="O15" s="755"/>
    </row>
    <row r="16" spans="1:41" ht="15.6" customHeight="1" x14ac:dyDescent="0.2">
      <c r="A16" s="217" t="s">
        <v>145</v>
      </c>
      <c r="B16" s="143">
        <v>0</v>
      </c>
      <c r="C16" s="82">
        <f>B16*5600</f>
        <v>0</v>
      </c>
      <c r="D16" s="129"/>
      <c r="E16" s="129"/>
      <c r="F16" s="129"/>
      <c r="G16" s="8"/>
      <c r="H16" s="9"/>
      <c r="I16" s="777" t="s">
        <v>109</v>
      </c>
      <c r="J16" s="777"/>
      <c r="K16" s="777"/>
      <c r="L16" s="777"/>
      <c r="M16" s="119"/>
      <c r="N16" s="120"/>
      <c r="O16" s="8"/>
    </row>
    <row r="17" spans="1:15" ht="15.6" customHeight="1" x14ac:dyDescent="0.2">
      <c r="A17" s="217" t="s">
        <v>240</v>
      </c>
      <c r="B17" s="143">
        <v>0</v>
      </c>
      <c r="C17" s="82">
        <f>B17*10100</f>
        <v>0</v>
      </c>
      <c r="D17" s="5"/>
      <c r="E17" s="5"/>
      <c r="F17" s="5"/>
      <c r="G17" s="8"/>
      <c r="H17" s="9"/>
      <c r="I17" s="41">
        <f>I11*I13*14*1985/1000000000</f>
        <v>0</v>
      </c>
      <c r="J17" s="41">
        <f t="shared" ref="J17" si="0">J11*J13*14*1985/1000000000</f>
        <v>0</v>
      </c>
      <c r="K17" s="41">
        <f>K11*K13*14*1985/1000000000</f>
        <v>0</v>
      </c>
      <c r="L17" s="41">
        <f>L11*L13*14*1985/1000000000</f>
        <v>0</v>
      </c>
      <c r="M17" s="119"/>
      <c r="N17" s="120"/>
      <c r="O17" s="8"/>
    </row>
    <row r="18" spans="1:15" ht="16.899999999999999" customHeight="1" x14ac:dyDescent="0.2">
      <c r="A18" s="217" t="s">
        <v>241</v>
      </c>
      <c r="B18" s="143">
        <v>0</v>
      </c>
      <c r="C18" s="79">
        <f>B18*12100</f>
        <v>0</v>
      </c>
      <c r="D18" s="300" t="s">
        <v>146</v>
      </c>
      <c r="E18" s="660" t="s">
        <v>244</v>
      </c>
      <c r="F18" s="660"/>
      <c r="G18" s="8"/>
      <c r="H18" s="9"/>
      <c r="I18" s="778" t="s">
        <v>110</v>
      </c>
      <c r="J18" s="778"/>
      <c r="K18" s="778"/>
      <c r="L18" s="778"/>
      <c r="M18" s="119"/>
      <c r="N18" s="5"/>
      <c r="O18" s="8"/>
    </row>
    <row r="19" spans="1:15" ht="17.45" customHeight="1" x14ac:dyDescent="0.2">
      <c r="A19" s="217" t="s">
        <v>242</v>
      </c>
      <c r="B19" s="143">
        <v>0</v>
      </c>
      <c r="C19" s="79">
        <f>B19*10100</f>
        <v>0</v>
      </c>
      <c r="D19" s="185"/>
      <c r="E19" s="130"/>
      <c r="F19" s="187"/>
      <c r="G19" s="8"/>
      <c r="H19" s="9"/>
      <c r="I19" s="22">
        <v>0</v>
      </c>
      <c r="J19" s="22">
        <v>0</v>
      </c>
      <c r="K19" s="22">
        <v>0</v>
      </c>
      <c r="L19" s="22">
        <v>0</v>
      </c>
      <c r="M19" s="119"/>
      <c r="N19" s="5"/>
      <c r="O19" s="8"/>
    </row>
    <row r="20" spans="1:15" ht="17.45" customHeight="1" x14ac:dyDescent="0.2">
      <c r="A20" s="217" t="s">
        <v>243</v>
      </c>
      <c r="B20" s="143">
        <v>0</v>
      </c>
      <c r="C20" s="79">
        <f>B20*12100</f>
        <v>0</v>
      </c>
      <c r="D20" s="5"/>
      <c r="E20" s="657" t="s">
        <v>181</v>
      </c>
      <c r="F20" s="658"/>
      <c r="G20" s="8"/>
      <c r="H20" s="9"/>
      <c r="I20" s="769" t="s">
        <v>171</v>
      </c>
      <c r="J20" s="769"/>
      <c r="K20" s="769"/>
      <c r="L20" s="769"/>
      <c r="M20" s="119"/>
      <c r="N20" s="5"/>
      <c r="O20" s="8"/>
    </row>
    <row r="21" spans="1:15" ht="17.45" customHeight="1" x14ac:dyDescent="0.25">
      <c r="A21" s="132"/>
      <c r="B21" s="133"/>
      <c r="C21" s="133"/>
      <c r="D21" s="133"/>
      <c r="E21" s="136" t="s">
        <v>17</v>
      </c>
      <c r="F21" s="136" t="s">
        <v>15</v>
      </c>
      <c r="G21" s="8"/>
      <c r="H21" s="9"/>
      <c r="I21" s="218" t="s">
        <v>174</v>
      </c>
      <c r="J21" s="93"/>
      <c r="K21" s="218" t="s">
        <v>174</v>
      </c>
      <c r="L21" s="218" t="s">
        <v>174</v>
      </c>
      <c r="M21" s="119"/>
      <c r="N21" s="5"/>
      <c r="O21" s="8"/>
    </row>
    <row r="22" spans="1:15" ht="17.45" customHeight="1" x14ac:dyDescent="0.25">
      <c r="A22" s="662" t="s">
        <v>170</v>
      </c>
      <c r="B22" s="663"/>
      <c r="C22" s="139">
        <v>0</v>
      </c>
      <c r="D22" s="88"/>
      <c r="E22" s="137">
        <v>0</v>
      </c>
      <c r="F22" s="138">
        <f>E22*29400</f>
        <v>0</v>
      </c>
      <c r="G22" s="83"/>
      <c r="H22" s="9"/>
      <c r="I22" s="115">
        <v>0</v>
      </c>
      <c r="J22" s="94"/>
      <c r="K22" s="115">
        <v>0</v>
      </c>
      <c r="L22" s="115">
        <v>0</v>
      </c>
      <c r="M22" s="119"/>
      <c r="N22" s="5"/>
      <c r="O22" s="8"/>
    </row>
    <row r="23" spans="1:15" ht="17.45" customHeight="1" x14ac:dyDescent="0.25">
      <c r="A23" s="770" t="s">
        <v>262</v>
      </c>
      <c r="B23" s="771"/>
      <c r="C23" s="126"/>
      <c r="D23" s="129"/>
      <c r="E23" s="669" t="s">
        <v>179</v>
      </c>
      <c r="F23" s="669"/>
      <c r="G23" s="134"/>
      <c r="H23" s="9"/>
      <c r="I23" s="219" t="s">
        <v>172</v>
      </c>
      <c r="J23" s="94"/>
      <c r="K23" s="219" t="s">
        <v>175</v>
      </c>
      <c r="L23" s="219" t="s">
        <v>175</v>
      </c>
      <c r="M23" s="119"/>
      <c r="N23" s="5"/>
      <c r="O23" s="8"/>
    </row>
    <row r="24" spans="1:15" ht="19.149999999999999" customHeight="1" x14ac:dyDescent="0.25">
      <c r="A24" s="772"/>
      <c r="B24" s="773"/>
      <c r="C24" s="127"/>
      <c r="D24" s="670"/>
      <c r="E24" s="669"/>
      <c r="F24" s="669"/>
      <c r="G24" s="134"/>
      <c r="H24" s="9"/>
      <c r="I24" s="116" t="s">
        <v>24</v>
      </c>
      <c r="J24" s="94"/>
      <c r="K24" s="116" t="s">
        <v>24</v>
      </c>
      <c r="L24" s="116" t="s">
        <v>24</v>
      </c>
      <c r="M24" s="119"/>
      <c r="N24" s="5"/>
      <c r="O24" s="8"/>
    </row>
    <row r="25" spans="1:15" ht="17.45" customHeight="1" x14ac:dyDescent="0.25">
      <c r="A25" s="772"/>
      <c r="B25" s="773"/>
      <c r="C25" s="127"/>
      <c r="D25" s="670"/>
      <c r="E25" s="198" t="s">
        <v>139</v>
      </c>
      <c r="F25" s="137" t="s">
        <v>148</v>
      </c>
      <c r="G25" s="113"/>
      <c r="H25" s="9"/>
      <c r="I25" s="219" t="s">
        <v>173</v>
      </c>
      <c r="J25" s="94"/>
      <c r="K25" s="96"/>
      <c r="L25" s="96"/>
      <c r="M25" s="119"/>
      <c r="N25" s="5"/>
      <c r="O25" s="8"/>
    </row>
    <row r="26" spans="1:15" ht="23.45" customHeight="1" x14ac:dyDescent="0.25">
      <c r="A26" s="772"/>
      <c r="B26" s="773"/>
      <c r="C26" s="127"/>
      <c r="D26" s="220"/>
      <c r="E26" s="774" t="s">
        <v>263</v>
      </c>
      <c r="F26" s="774"/>
      <c r="G26" s="113"/>
      <c r="H26" s="9"/>
      <c r="I26" s="116" t="s">
        <v>24</v>
      </c>
      <c r="J26" s="94"/>
      <c r="K26" s="94"/>
      <c r="L26" s="94"/>
      <c r="M26" s="119"/>
      <c r="N26" s="5"/>
      <c r="O26" s="8"/>
    </row>
    <row r="27" spans="1:15" ht="17.45" customHeight="1" x14ac:dyDescent="0.25">
      <c r="A27" s="772"/>
      <c r="B27" s="773"/>
      <c r="C27" s="127"/>
      <c r="D27" s="114"/>
      <c r="E27" s="671" t="s">
        <v>33</v>
      </c>
      <c r="F27" s="672" t="s">
        <v>4</v>
      </c>
      <c r="G27" s="113"/>
      <c r="H27" s="9"/>
      <c r="I27" s="617" t="s">
        <v>301</v>
      </c>
      <c r="J27" s="617"/>
      <c r="K27" s="617"/>
      <c r="L27" s="617"/>
      <c r="M27" s="617"/>
      <c r="N27" s="617"/>
      <c r="O27" s="775"/>
    </row>
    <row r="28" spans="1:15" ht="24.6" customHeight="1" x14ac:dyDescent="0.25">
      <c r="A28" s="772"/>
      <c r="B28" s="773"/>
      <c r="C28" s="127"/>
      <c r="D28" s="111"/>
      <c r="E28" s="671"/>
      <c r="F28" s="672"/>
      <c r="G28" s="8"/>
      <c r="H28" s="9"/>
      <c r="I28" s="617"/>
      <c r="J28" s="617"/>
      <c r="K28" s="617"/>
      <c r="L28" s="617"/>
      <c r="M28" s="617"/>
      <c r="N28" s="617"/>
      <c r="O28" s="775"/>
    </row>
    <row r="29" spans="1:15" ht="22.15" customHeight="1" thickBot="1" x14ac:dyDescent="0.3">
      <c r="A29" s="140"/>
      <c r="B29" s="141"/>
      <c r="C29" s="112"/>
      <c r="D29" s="653" t="s">
        <v>307</v>
      </c>
      <c r="E29" s="653"/>
      <c r="F29" s="653"/>
      <c r="G29" s="12"/>
      <c r="H29" s="10"/>
      <c r="I29" s="619"/>
      <c r="J29" s="619"/>
      <c r="K29" s="619"/>
      <c r="L29" s="619"/>
      <c r="M29" s="619"/>
      <c r="N29" s="619"/>
      <c r="O29" s="776"/>
    </row>
    <row r="30" spans="1:15" ht="10.15" customHeight="1" x14ac:dyDescent="0.25">
      <c r="A30" s="54"/>
      <c r="B30" s="123"/>
      <c r="C30" s="124"/>
      <c r="D30" s="123"/>
      <c r="E30" s="123"/>
      <c r="F30" s="123"/>
      <c r="G30" s="53"/>
      <c r="H30" s="54"/>
      <c r="I30" s="654" t="s">
        <v>290</v>
      </c>
      <c r="J30" s="654"/>
      <c r="K30" s="654"/>
      <c r="L30" s="654"/>
      <c r="M30" s="123"/>
      <c r="N30" s="123"/>
      <c r="O30" s="53"/>
    </row>
    <row r="31" spans="1:15" ht="15.6" customHeight="1" x14ac:dyDescent="0.25">
      <c r="A31" s="636" t="s">
        <v>256</v>
      </c>
      <c r="B31" s="629"/>
      <c r="C31" s="629"/>
      <c r="D31" s="135"/>
      <c r="E31" s="135"/>
      <c r="F31" s="135"/>
      <c r="G31" s="8"/>
      <c r="H31" s="9"/>
      <c r="I31" s="655"/>
      <c r="J31" s="655"/>
      <c r="K31" s="655"/>
      <c r="L31" s="655"/>
      <c r="M31" s="122"/>
      <c r="N31" s="122"/>
      <c r="O31" s="60"/>
    </row>
    <row r="32" spans="1:15" x14ac:dyDescent="0.25">
      <c r="A32" s="9"/>
      <c r="B32" s="5"/>
      <c r="C32" s="5"/>
      <c r="D32" s="5"/>
      <c r="E32" s="5"/>
      <c r="F32" s="5"/>
      <c r="G32" s="8"/>
      <c r="H32" s="9"/>
      <c r="I32" s="122"/>
      <c r="J32" s="122"/>
      <c r="K32" s="617" t="s">
        <v>299</v>
      </c>
      <c r="L32" s="617"/>
      <c r="M32" s="617"/>
      <c r="N32" s="617"/>
      <c r="O32" s="60"/>
    </row>
    <row r="33" spans="1:15" x14ac:dyDescent="0.25">
      <c r="A33" s="9"/>
      <c r="B33" s="5"/>
      <c r="C33" s="5"/>
      <c r="D33" s="5"/>
      <c r="E33" s="5"/>
      <c r="F33" s="5"/>
      <c r="G33" s="8"/>
      <c r="H33" s="65"/>
      <c r="I33" s="275" t="s">
        <v>289</v>
      </c>
      <c r="J33" s="291" t="s">
        <v>300</v>
      </c>
      <c r="K33" s="283" t="s">
        <v>293</v>
      </c>
      <c r="L33" s="283" t="s">
        <v>294</v>
      </c>
      <c r="M33" s="283" t="s">
        <v>295</v>
      </c>
      <c r="N33" s="275" t="s">
        <v>296</v>
      </c>
      <c r="O33" s="63"/>
    </row>
    <row r="34" spans="1:15" x14ac:dyDescent="0.25">
      <c r="A34" s="9"/>
      <c r="B34" s="5"/>
      <c r="C34" s="5"/>
      <c r="D34" s="5"/>
      <c r="E34" s="5"/>
      <c r="F34" s="5"/>
      <c r="G34" s="8"/>
      <c r="H34" s="298">
        <f>J34/1000*$B$4/1000*0.014*1800*IF(AND(O34&gt;=200,O34&lt;=1000,OR(K34&gt;=200,L34&gt;=200,M34&gt;=200)),COUNTIFS(K34:M34,"&gt;=200",K34:M34,"&lt;=1000"))+O34/1000*$B$4/1000*0.014*1800</f>
        <v>0</v>
      </c>
      <c r="I34" s="279" t="s">
        <v>271</v>
      </c>
      <c r="J34" s="280">
        <v>200</v>
      </c>
      <c r="K34" s="282">
        <v>0</v>
      </c>
      <c r="L34" s="282">
        <v>0</v>
      </c>
      <c r="M34" s="282">
        <v>0</v>
      </c>
      <c r="N34" s="279">
        <f>IF(AND(O34&gt;=200,O34&lt;=1000,OR(K34&gt;=200,L34&gt;=200,M34&gt;=200)),IF($F$8="RAL, указать:",IF(AND(O34&gt;=200,O34&lt;=1000,OR(K34&gt;=200,L34&gt;=200,M34&gt;=200)),COUNTIFS(K34:M34,"&gt;=200",K34:M34,"&lt;=1000")*25000*1.5),IF(AND(O34&gt;=200,O34&lt;=1000,OR(K34&gt;=200,L34&gt;=200,M34&gt;=200)),COUNTIFS(K34:M34,"&gt;=200",K34:M34,"&lt;=1000")*25000)),0)</f>
        <v>0</v>
      </c>
      <c r="O34" s="292">
        <f>SUM(K34:M34)</f>
        <v>0</v>
      </c>
    </row>
    <row r="35" spans="1:15" ht="14.45" customHeight="1" x14ac:dyDescent="0.25">
      <c r="A35" s="9"/>
      <c r="B35" s="5"/>
      <c r="C35" s="5"/>
      <c r="D35" s="5"/>
      <c r="E35" s="5"/>
      <c r="F35" s="5"/>
      <c r="G35" s="8"/>
      <c r="H35" s="298">
        <f t="shared" ref="H35:H36" si="1">J35/1000*$B$4/1000*0.014*1800*IF(AND(O35&gt;=200,O35&lt;=1000,OR(K35&gt;=200,L35&gt;=200,M35&gt;=200)),COUNTIFS(K35:M35,"&gt;=200",K35:M35,"&lt;=1000"))+O35/1000*$B$4/1000*0.014*1800</f>
        <v>0</v>
      </c>
      <c r="I35" s="279" t="s">
        <v>272</v>
      </c>
      <c r="J35" s="280">
        <v>200</v>
      </c>
      <c r="K35" s="282">
        <v>0</v>
      </c>
      <c r="L35" s="282">
        <v>0</v>
      </c>
      <c r="M35" s="282">
        <v>0</v>
      </c>
      <c r="N35" s="279">
        <f t="shared" ref="N35:N36" si="2">IF(AND(O35&gt;=200,O35&lt;=1000,OR(K35&gt;=200,L35&gt;=200,M35&gt;=200)),IF($F$8="RAL, указать:",IF(AND(O35&gt;=200,O35&lt;=1000,OR(K35&gt;=200,L35&gt;=200,M35&gt;=200)),COUNTIFS(K35:M35,"&gt;=200",K35:M35,"&lt;=1000")*25000*1.5),IF(AND(O35&gt;=200,O35&lt;=1000,OR(K35&gt;=200,L35&gt;=200,M35&gt;=200)),COUNTIFS(K35:M35,"&gt;=200",K35:M35,"&lt;=1000")*25000)),0)</f>
        <v>0</v>
      </c>
      <c r="O35" s="292">
        <f t="shared" ref="O35:O36" si="3">SUM(K35:M35)</f>
        <v>0</v>
      </c>
    </row>
    <row r="36" spans="1:15" x14ac:dyDescent="0.25">
      <c r="A36" s="9"/>
      <c r="B36" s="5"/>
      <c r="C36" s="5"/>
      <c r="D36" s="5"/>
      <c r="E36" s="5"/>
      <c r="F36" s="5"/>
      <c r="G36" s="8"/>
      <c r="H36" s="298">
        <f t="shared" si="1"/>
        <v>0</v>
      </c>
      <c r="I36" s="279" t="s">
        <v>291</v>
      </c>
      <c r="J36" s="280">
        <v>200</v>
      </c>
      <c r="K36" s="282">
        <v>0</v>
      </c>
      <c r="L36" s="282">
        <v>0</v>
      </c>
      <c r="M36" s="282">
        <v>0</v>
      </c>
      <c r="N36" s="279">
        <f t="shared" si="2"/>
        <v>0</v>
      </c>
      <c r="O36" s="292">
        <f t="shared" si="3"/>
        <v>0</v>
      </c>
    </row>
    <row r="37" spans="1:15" ht="14.45" customHeight="1" x14ac:dyDescent="0.25">
      <c r="A37" s="9"/>
      <c r="B37" s="5"/>
      <c r="C37" s="5"/>
      <c r="D37" s="5"/>
      <c r="E37" s="5"/>
      <c r="F37" s="5"/>
      <c r="G37" s="8"/>
      <c r="H37" s="9"/>
      <c r="I37" s="122"/>
      <c r="J37" s="122"/>
      <c r="K37" s="122"/>
      <c r="L37" s="122"/>
      <c r="M37" s="122"/>
      <c r="N37" s="122"/>
      <c r="O37" s="60"/>
    </row>
    <row r="38" spans="1:15" ht="14.45" customHeight="1" x14ac:dyDescent="0.25">
      <c r="A38" s="9"/>
      <c r="B38" s="5"/>
      <c r="C38" s="5"/>
      <c r="D38" s="5"/>
      <c r="E38" s="5"/>
      <c r="F38" s="5"/>
      <c r="G38" s="8"/>
      <c r="H38" s="9"/>
      <c r="I38" s="633" t="s">
        <v>303</v>
      </c>
      <c r="J38" s="633"/>
      <c r="K38" s="633"/>
      <c r="L38" s="165"/>
      <c r="M38" s="165"/>
      <c r="N38" s="165"/>
      <c r="O38" s="169"/>
    </row>
    <row r="39" spans="1:15" ht="14.45" customHeight="1" x14ac:dyDescent="0.25">
      <c r="A39" s="9"/>
      <c r="B39" s="5"/>
      <c r="C39" s="5"/>
      <c r="D39" s="767" t="s">
        <v>281</v>
      </c>
      <c r="E39" s="768"/>
      <c r="F39" s="768"/>
      <c r="G39" s="8"/>
      <c r="H39" s="9"/>
      <c r="I39" s="633"/>
      <c r="J39" s="633"/>
      <c r="K39" s="633"/>
      <c r="L39" s="165"/>
      <c r="M39" s="165"/>
      <c r="N39" s="165"/>
      <c r="O39" s="169"/>
    </row>
    <row r="40" spans="1:15" x14ac:dyDescent="0.25">
      <c r="A40" s="9"/>
      <c r="B40" s="5"/>
      <c r="C40" s="5"/>
      <c r="D40" s="768"/>
      <c r="E40" s="768"/>
      <c r="F40" s="768"/>
      <c r="G40" s="8"/>
      <c r="H40" s="9"/>
      <c r="I40" s="633"/>
      <c r="J40" s="633"/>
      <c r="K40" s="633"/>
      <c r="L40" s="165"/>
      <c r="M40" s="165"/>
      <c r="N40" s="165"/>
      <c r="O40" s="169"/>
    </row>
    <row r="41" spans="1:15" x14ac:dyDescent="0.25">
      <c r="A41" s="9"/>
      <c r="B41" s="5"/>
      <c r="C41" s="5"/>
      <c r="D41" s="768"/>
      <c r="E41" s="768"/>
      <c r="F41" s="768"/>
      <c r="G41" s="8"/>
      <c r="H41" s="9"/>
      <c r="I41" s="633"/>
      <c r="J41" s="633"/>
      <c r="K41" s="633"/>
      <c r="L41" s="165"/>
      <c r="M41" s="165"/>
      <c r="N41" s="165"/>
      <c r="O41" s="169"/>
    </row>
    <row r="42" spans="1:15" x14ac:dyDescent="0.25">
      <c r="A42" s="9"/>
      <c r="B42" s="5"/>
      <c r="C42" s="5"/>
      <c r="D42" s="768"/>
      <c r="E42" s="768"/>
      <c r="F42" s="768"/>
      <c r="G42" s="8"/>
      <c r="H42" s="9"/>
      <c r="I42" s="633"/>
      <c r="J42" s="633"/>
      <c r="K42" s="633"/>
      <c r="L42" s="165"/>
      <c r="M42" s="165"/>
      <c r="N42" s="165"/>
      <c r="O42" s="169"/>
    </row>
    <row r="43" spans="1:15" x14ac:dyDescent="0.25">
      <c r="A43" s="9"/>
      <c r="B43" s="5"/>
      <c r="C43" s="5"/>
      <c r="D43" s="768"/>
      <c r="E43" s="768"/>
      <c r="F43" s="768"/>
      <c r="G43" s="8"/>
      <c r="H43" s="9"/>
      <c r="I43" s="633"/>
      <c r="J43" s="633"/>
      <c r="K43" s="633"/>
      <c r="L43" s="165"/>
      <c r="M43" s="165"/>
      <c r="N43" s="165"/>
      <c r="O43" s="169"/>
    </row>
    <row r="44" spans="1:15" x14ac:dyDescent="0.25">
      <c r="A44" s="9"/>
      <c r="B44" s="5"/>
      <c r="C44" s="5"/>
      <c r="D44" s="5"/>
      <c r="E44" s="5"/>
      <c r="F44" s="5"/>
      <c r="G44" s="8"/>
      <c r="H44" s="9"/>
      <c r="I44" s="633"/>
      <c r="J44" s="633"/>
      <c r="K44" s="633"/>
      <c r="M44" s="165"/>
      <c r="N44" s="165"/>
      <c r="O44" s="169"/>
    </row>
    <row r="45" spans="1:15" x14ac:dyDescent="0.25">
      <c r="A45" s="634" t="s">
        <v>257</v>
      </c>
      <c r="B45" s="635"/>
      <c r="C45" s="635"/>
      <c r="D45" s="5"/>
      <c r="E45" s="5"/>
      <c r="F45" s="5"/>
      <c r="G45" s="8"/>
      <c r="H45" s="9"/>
      <c r="I45" s="633"/>
      <c r="J45" s="633"/>
      <c r="K45" s="633"/>
      <c r="L45" s="656" t="s">
        <v>306</v>
      </c>
      <c r="M45" s="656"/>
      <c r="N45" s="602" t="s">
        <v>285</v>
      </c>
      <c r="O45" s="603"/>
    </row>
    <row r="46" spans="1:15" x14ac:dyDescent="0.25">
      <c r="A46" s="9"/>
      <c r="B46" s="5"/>
      <c r="C46" s="5"/>
      <c r="D46" s="5"/>
      <c r="E46" s="5"/>
      <c r="F46" s="5"/>
      <c r="G46" s="8"/>
      <c r="H46" s="9"/>
      <c r="I46" s="633"/>
      <c r="J46" s="633"/>
      <c r="K46" s="633"/>
      <c r="L46" s="122"/>
      <c r="M46" s="165"/>
      <c r="N46" s="165"/>
      <c r="O46" s="169"/>
    </row>
    <row r="47" spans="1:15" x14ac:dyDescent="0.25">
      <c r="A47" s="9"/>
      <c r="B47" s="5"/>
      <c r="C47" s="5"/>
      <c r="D47" s="5"/>
      <c r="E47" s="5"/>
      <c r="F47" s="5"/>
      <c r="G47" s="8"/>
      <c r="H47" s="9"/>
      <c r="I47" s="633"/>
      <c r="J47" s="633"/>
      <c r="K47" s="633"/>
      <c r="L47" s="122"/>
      <c r="M47" s="165"/>
      <c r="N47" s="165"/>
      <c r="O47" s="169"/>
    </row>
    <row r="48" spans="1:15" x14ac:dyDescent="0.25">
      <c r="A48" s="9"/>
      <c r="B48" s="5"/>
      <c r="C48" s="5"/>
      <c r="D48" s="5"/>
      <c r="E48" s="5"/>
      <c r="F48" s="5"/>
      <c r="G48" s="8"/>
      <c r="H48" s="9"/>
      <c r="I48" s="633"/>
      <c r="J48" s="633"/>
      <c r="K48" s="633"/>
      <c r="L48" s="122"/>
      <c r="M48" s="165"/>
      <c r="N48" s="165"/>
      <c r="O48" s="169"/>
    </row>
    <row r="49" spans="1:15" x14ac:dyDescent="0.25">
      <c r="A49" s="9"/>
      <c r="B49" s="5"/>
      <c r="C49" s="5"/>
      <c r="D49" s="5"/>
      <c r="E49" s="5"/>
      <c r="F49" s="5"/>
      <c r="G49" s="8"/>
      <c r="H49" s="9"/>
      <c r="I49" s="165"/>
      <c r="J49" s="165"/>
      <c r="K49" s="165"/>
      <c r="L49" s="122"/>
      <c r="M49" s="165"/>
      <c r="N49" s="165"/>
      <c r="O49" s="169"/>
    </row>
    <row r="50" spans="1:15" x14ac:dyDescent="0.25">
      <c r="A50" s="9"/>
      <c r="B50" s="5"/>
      <c r="C50" s="5"/>
      <c r="D50" s="5"/>
      <c r="E50" s="5"/>
      <c r="F50" s="5"/>
      <c r="G50" s="8"/>
      <c r="H50" s="9"/>
      <c r="I50" s="165"/>
      <c r="J50" s="165"/>
      <c r="K50" s="165"/>
      <c r="L50" s="122"/>
      <c r="M50" s="165"/>
      <c r="N50" s="165"/>
      <c r="O50" s="169"/>
    </row>
    <row r="51" spans="1:15" ht="15.6" customHeight="1" x14ac:dyDescent="0.25">
      <c r="A51" s="125"/>
      <c r="B51" s="120"/>
      <c r="C51" s="120"/>
      <c r="D51" s="120"/>
      <c r="E51" s="120"/>
      <c r="F51" s="120"/>
      <c r="G51" s="8"/>
      <c r="H51" s="9"/>
      <c r="I51" s="165"/>
      <c r="J51" s="165"/>
      <c r="K51" s="165"/>
      <c r="L51" s="122"/>
      <c r="M51" s="165"/>
      <c r="N51" s="165"/>
      <c r="O51" s="169"/>
    </row>
    <row r="52" spans="1:15" ht="14.45" customHeight="1" x14ac:dyDescent="0.25">
      <c r="A52" s="125"/>
      <c r="B52" s="120"/>
      <c r="C52" s="120"/>
      <c r="D52" s="120"/>
      <c r="E52" s="120"/>
      <c r="F52" s="120"/>
      <c r="G52" s="8"/>
      <c r="H52" s="9"/>
      <c r="I52" s="165"/>
      <c r="J52" s="165"/>
      <c r="K52" s="165"/>
      <c r="L52" s="122"/>
      <c r="M52" s="165"/>
      <c r="N52" s="165"/>
      <c r="O52" s="169"/>
    </row>
    <row r="53" spans="1:15" ht="14.45" customHeight="1" x14ac:dyDescent="0.25">
      <c r="A53" s="125"/>
      <c r="B53" s="120"/>
      <c r="C53" s="120"/>
      <c r="D53" s="120"/>
      <c r="E53" s="120"/>
      <c r="F53" s="120"/>
      <c r="G53" s="8"/>
      <c r="H53" s="9"/>
      <c r="I53" s="122"/>
      <c r="J53" s="122"/>
      <c r="K53" s="122"/>
      <c r="L53" s="122"/>
      <c r="M53" s="165"/>
      <c r="N53" s="165"/>
      <c r="O53" s="169"/>
    </row>
    <row r="54" spans="1:15" ht="14.45" customHeight="1" x14ac:dyDescent="0.25">
      <c r="A54" s="125"/>
      <c r="B54" s="120"/>
      <c r="C54" s="120"/>
      <c r="D54" s="120"/>
      <c r="E54" s="120"/>
      <c r="F54" s="120"/>
      <c r="G54" s="8"/>
      <c r="H54" s="9"/>
      <c r="I54" s="122"/>
      <c r="J54" s="122"/>
      <c r="K54" s="122"/>
      <c r="L54" s="122"/>
      <c r="M54" s="165"/>
      <c r="N54" s="165"/>
      <c r="O54" s="169"/>
    </row>
    <row r="55" spans="1:15" x14ac:dyDescent="0.25">
      <c r="A55" s="125"/>
      <c r="B55" s="120"/>
      <c r="C55" s="120"/>
      <c r="D55" s="120"/>
      <c r="E55" s="120"/>
      <c r="F55" s="120"/>
      <c r="G55" s="8"/>
      <c r="H55" s="9"/>
      <c r="I55" s="122"/>
      <c r="J55" s="122"/>
      <c r="K55" s="122"/>
      <c r="L55" s="122"/>
      <c r="M55" s="165"/>
      <c r="N55" s="165"/>
      <c r="O55" s="169"/>
    </row>
    <row r="56" spans="1:15" ht="19.149999999999999" customHeight="1" x14ac:dyDescent="0.25">
      <c r="A56" s="125"/>
      <c r="B56" s="120"/>
      <c r="C56" s="120"/>
      <c r="D56" s="120"/>
      <c r="E56" s="652" t="s">
        <v>138</v>
      </c>
      <c r="F56" s="652"/>
      <c r="G56" s="8"/>
      <c r="H56" s="9"/>
      <c r="I56" s="122"/>
      <c r="J56" s="122"/>
      <c r="K56" s="122"/>
      <c r="L56" s="122"/>
      <c r="M56" s="165"/>
      <c r="N56" s="165"/>
      <c r="O56" s="285"/>
    </row>
    <row r="57" spans="1:15" ht="19.149999999999999" customHeight="1" x14ac:dyDescent="0.25">
      <c r="A57" s="634"/>
      <c r="B57" s="635"/>
      <c r="C57" s="635"/>
      <c r="D57" s="120"/>
      <c r="E57" s="652"/>
      <c r="F57" s="652"/>
      <c r="G57" s="8"/>
      <c r="H57" s="9"/>
      <c r="I57" s="122"/>
      <c r="J57" s="122"/>
      <c r="K57" s="122"/>
      <c r="L57" s="122"/>
      <c r="M57" s="165"/>
      <c r="N57" s="165"/>
      <c r="O57" s="285"/>
    </row>
    <row r="58" spans="1:15" ht="18" customHeight="1" x14ac:dyDescent="0.25">
      <c r="A58" s="9"/>
      <c r="B58" s="245"/>
      <c r="C58" s="245"/>
      <c r="D58" s="245"/>
      <c r="E58" s="245"/>
      <c r="F58" s="5"/>
      <c r="G58" s="8"/>
      <c r="H58" s="9"/>
      <c r="I58" s="122"/>
      <c r="J58" s="122"/>
      <c r="K58" s="122"/>
      <c r="L58" s="122"/>
      <c r="M58" s="165"/>
      <c r="N58" s="165"/>
      <c r="O58" s="285"/>
    </row>
    <row r="59" spans="1:15" x14ac:dyDescent="0.25">
      <c r="A59" s="9"/>
      <c r="B59" s="5"/>
      <c r="C59" s="5"/>
      <c r="D59" s="5"/>
      <c r="E59" s="5"/>
      <c r="F59" s="5"/>
      <c r="G59" s="8"/>
      <c r="H59" s="9"/>
      <c r="I59" s="122"/>
      <c r="J59" s="122"/>
      <c r="K59" s="122"/>
      <c r="L59" s="122"/>
      <c r="M59" s="165"/>
      <c r="N59" s="165"/>
      <c r="O59" s="169"/>
    </row>
    <row r="60" spans="1:15" x14ac:dyDescent="0.25">
      <c r="A60" s="9"/>
      <c r="B60" s="5"/>
      <c r="C60" s="5"/>
      <c r="D60" s="5"/>
      <c r="E60" s="5"/>
      <c r="F60" s="5"/>
      <c r="G60" s="8"/>
      <c r="H60" s="296"/>
      <c r="I60" s="295"/>
      <c r="J60" s="295"/>
      <c r="K60" s="295"/>
      <c r="L60" s="295"/>
      <c r="M60" s="165"/>
      <c r="N60" s="165"/>
      <c r="O60" s="297"/>
    </row>
    <row r="61" spans="1:15" x14ac:dyDescent="0.25">
      <c r="A61" s="9"/>
      <c r="B61" s="5"/>
      <c r="C61" s="630" t="s">
        <v>132</v>
      </c>
      <c r="D61" s="630"/>
      <c r="E61" s="5"/>
      <c r="F61" s="5"/>
      <c r="G61" s="8"/>
      <c r="H61" s="296"/>
      <c r="I61" s="295"/>
      <c r="J61" s="295"/>
      <c r="K61" s="295"/>
      <c r="L61" s="295"/>
      <c r="M61" s="165"/>
      <c r="N61" s="165"/>
      <c r="O61" s="297"/>
    </row>
    <row r="62" spans="1:15" x14ac:dyDescent="0.25">
      <c r="A62" s="9"/>
      <c r="B62" s="5"/>
      <c r="C62" s="5"/>
      <c r="D62" s="5"/>
      <c r="E62" s="5"/>
      <c r="F62" s="5"/>
      <c r="G62" s="8"/>
      <c r="H62" s="296"/>
      <c r="I62" s="295"/>
      <c r="J62" s="295"/>
      <c r="K62" s="295"/>
      <c r="L62" s="295"/>
      <c r="M62" s="295"/>
      <c r="N62" s="295"/>
      <c r="O62" s="297"/>
    </row>
    <row r="63" spans="1:15" x14ac:dyDescent="0.25">
      <c r="A63" s="5"/>
      <c r="B63" s="5"/>
      <c r="C63" s="5"/>
      <c r="D63" s="5"/>
      <c r="E63" s="5"/>
      <c r="F63" s="5"/>
      <c r="G63" s="8"/>
      <c r="H63" s="296"/>
      <c r="I63" s="295"/>
      <c r="J63" s="295"/>
      <c r="K63" s="295"/>
      <c r="L63" s="295"/>
      <c r="M63" s="295"/>
      <c r="N63" s="295"/>
      <c r="O63" s="297"/>
    </row>
    <row r="64" spans="1:15" x14ac:dyDescent="0.25">
      <c r="A64" s="5"/>
      <c r="B64" s="5"/>
      <c r="C64" s="5"/>
      <c r="D64" s="5"/>
      <c r="E64" s="5"/>
      <c r="F64" s="5"/>
      <c r="G64" s="8"/>
      <c r="H64" s="296"/>
      <c r="I64" s="295"/>
      <c r="J64" s="295"/>
      <c r="K64" s="295"/>
      <c r="L64" s="295"/>
      <c r="M64" s="295"/>
      <c r="N64" s="295"/>
      <c r="O64" s="297"/>
    </row>
    <row r="65" spans="1:15" x14ac:dyDescent="0.25">
      <c r="A65" s="5"/>
      <c r="B65" s="5"/>
      <c r="C65" s="5"/>
      <c r="D65" s="5"/>
      <c r="E65" s="5"/>
      <c r="F65" s="5"/>
      <c r="G65" s="8"/>
      <c r="H65" s="296"/>
      <c r="I65" s="295"/>
      <c r="J65" s="295"/>
      <c r="K65" s="295"/>
      <c r="L65" s="295"/>
      <c r="M65" s="295"/>
      <c r="N65" s="295"/>
      <c r="O65" s="297"/>
    </row>
    <row r="66" spans="1:15" ht="13.9" customHeight="1" x14ac:dyDescent="0.25">
      <c r="A66" s="5"/>
      <c r="B66" s="5"/>
      <c r="C66" s="5"/>
      <c r="D66" s="5"/>
      <c r="E66" s="5"/>
      <c r="F66" s="5"/>
      <c r="G66" s="8"/>
      <c r="H66" s="296"/>
      <c r="I66" s="295"/>
      <c r="J66" s="295"/>
      <c r="K66" s="295"/>
      <c r="L66" s="295"/>
      <c r="M66" s="295"/>
      <c r="N66" s="295"/>
      <c r="O66" s="297"/>
    </row>
    <row r="67" spans="1:15" x14ac:dyDescent="0.25">
      <c r="A67" s="5"/>
      <c r="B67" s="5"/>
      <c r="C67" s="5"/>
      <c r="D67" s="5"/>
      <c r="E67" s="5"/>
      <c r="F67" s="5"/>
      <c r="G67" s="8"/>
      <c r="H67" s="296"/>
      <c r="I67" s="295"/>
      <c r="J67" s="295"/>
      <c r="K67" s="295"/>
      <c r="L67" s="295"/>
      <c r="M67" s="295"/>
      <c r="N67" s="295"/>
      <c r="O67" s="297"/>
    </row>
    <row r="68" spans="1:15" x14ac:dyDescent="0.25">
      <c r="A68" s="5"/>
      <c r="B68" s="5"/>
      <c r="C68" s="5"/>
      <c r="D68" s="5"/>
      <c r="E68" s="5"/>
      <c r="F68" s="5"/>
      <c r="G68" s="8"/>
      <c r="H68" s="296"/>
      <c r="I68" s="295"/>
      <c r="J68" s="295"/>
      <c r="K68" s="295"/>
      <c r="L68" s="295"/>
      <c r="M68" s="295"/>
      <c r="N68" s="295"/>
      <c r="O68" s="297"/>
    </row>
    <row r="69" spans="1:15" x14ac:dyDescent="0.25">
      <c r="A69" s="5"/>
      <c r="B69" s="5"/>
      <c r="C69" s="5"/>
      <c r="D69" s="5"/>
      <c r="E69" s="5"/>
      <c r="F69" s="5"/>
      <c r="G69" s="8"/>
      <c r="H69" s="296"/>
      <c r="I69" s="295"/>
      <c r="J69" s="295"/>
      <c r="K69" s="295"/>
      <c r="L69" s="295"/>
      <c r="M69" s="295"/>
      <c r="N69" s="295"/>
      <c r="O69" s="297"/>
    </row>
    <row r="70" spans="1:15" x14ac:dyDescent="0.25">
      <c r="A70" s="5"/>
      <c r="B70" s="5"/>
      <c r="C70" s="5"/>
      <c r="D70" s="5"/>
      <c r="E70" s="5"/>
      <c r="F70" s="5"/>
      <c r="G70" s="8"/>
      <c r="H70" s="296"/>
      <c r="I70" s="295"/>
      <c r="J70" s="295"/>
      <c r="K70" s="295"/>
      <c r="L70" s="295"/>
      <c r="M70" s="295"/>
      <c r="N70" s="295"/>
      <c r="O70" s="297"/>
    </row>
    <row r="71" spans="1:15" x14ac:dyDescent="0.25">
      <c r="A71" s="5"/>
      <c r="B71" s="5"/>
      <c r="C71" s="5"/>
      <c r="D71" s="5"/>
      <c r="E71" s="5"/>
      <c r="F71" s="5"/>
      <c r="G71" s="8"/>
      <c r="H71" s="296"/>
      <c r="I71" s="295"/>
      <c r="J71" s="295"/>
      <c r="K71" s="295"/>
      <c r="L71" s="295"/>
      <c r="M71" s="295"/>
      <c r="N71" s="295"/>
      <c r="O71" s="297"/>
    </row>
    <row r="72" spans="1:15" x14ac:dyDescent="0.25">
      <c r="A72" s="5"/>
      <c r="B72" s="5"/>
      <c r="C72" s="5"/>
      <c r="D72" s="5"/>
      <c r="E72" s="5"/>
      <c r="F72" s="5"/>
      <c r="G72" s="8"/>
      <c r="H72" s="296"/>
      <c r="I72" s="295"/>
      <c r="J72" s="295"/>
      <c r="K72" s="295"/>
      <c r="L72" s="295"/>
      <c r="M72" s="295"/>
      <c r="N72" s="295"/>
      <c r="O72" s="297"/>
    </row>
    <row r="73" spans="1:15" x14ac:dyDescent="0.25">
      <c r="A73" s="5"/>
      <c r="B73" s="5"/>
      <c r="C73" s="5"/>
      <c r="D73" s="5"/>
      <c r="E73" s="5"/>
      <c r="F73" s="5"/>
      <c r="G73" s="8"/>
      <c r="H73" s="296"/>
      <c r="I73" s="295"/>
      <c r="J73" s="295"/>
      <c r="K73" s="295"/>
      <c r="L73" s="295"/>
      <c r="M73" s="295"/>
      <c r="N73" s="295"/>
      <c r="O73" s="297"/>
    </row>
    <row r="74" spans="1:15" x14ac:dyDescent="0.25">
      <c r="A74" s="5"/>
      <c r="B74" s="5"/>
      <c r="C74" s="5"/>
      <c r="D74" s="5"/>
      <c r="E74" s="5"/>
      <c r="F74" s="5"/>
      <c r="G74" s="8"/>
      <c r="H74" s="296"/>
      <c r="I74" s="295"/>
      <c r="J74" s="295"/>
      <c r="K74" s="295"/>
      <c r="L74" s="295"/>
      <c r="M74" s="295"/>
      <c r="N74" s="295"/>
      <c r="O74" s="297"/>
    </row>
    <row r="75" spans="1:15" x14ac:dyDescent="0.25">
      <c r="A75" s="5"/>
      <c r="B75" s="5"/>
      <c r="C75" s="5"/>
      <c r="D75" s="5"/>
      <c r="E75" s="5"/>
      <c r="F75" s="5"/>
      <c r="G75" s="8"/>
      <c r="H75" s="296"/>
      <c r="I75" s="295"/>
      <c r="J75" s="295"/>
      <c r="K75" s="295"/>
      <c r="L75" s="295"/>
      <c r="M75" s="295"/>
      <c r="N75" s="295"/>
      <c r="O75" s="297"/>
    </row>
    <row r="76" spans="1:15" x14ac:dyDescent="0.25">
      <c r="A76" s="5"/>
      <c r="B76" s="5"/>
      <c r="C76" s="5"/>
      <c r="D76" s="5"/>
      <c r="E76" s="5"/>
      <c r="F76" s="5"/>
      <c r="G76" s="8"/>
      <c r="H76" s="296"/>
      <c r="I76" s="295"/>
      <c r="J76" s="295"/>
      <c r="K76" s="295"/>
      <c r="L76" s="295"/>
      <c r="M76" s="295"/>
      <c r="N76" s="295"/>
      <c r="O76" s="297"/>
    </row>
    <row r="77" spans="1:15" x14ac:dyDescent="0.25">
      <c r="A77" s="45"/>
      <c r="B77" s="5"/>
      <c r="C77" s="5"/>
      <c r="D77" s="5"/>
      <c r="E77" s="5"/>
      <c r="F77" s="5"/>
      <c r="G77" s="5"/>
      <c r="H77" s="296"/>
      <c r="I77" s="295"/>
      <c r="J77" s="295"/>
      <c r="K77" s="295"/>
      <c r="L77" s="295"/>
      <c r="M77" s="295"/>
      <c r="N77" s="295"/>
      <c r="O77" s="297"/>
    </row>
    <row r="78" spans="1:15" ht="14.45" customHeight="1" x14ac:dyDescent="0.25">
      <c r="A78" s="9"/>
      <c r="B78" s="5"/>
      <c r="C78" s="630" t="s">
        <v>277</v>
      </c>
      <c r="D78" s="630"/>
      <c r="E78" s="5"/>
      <c r="F78" s="5"/>
      <c r="G78" s="5"/>
      <c r="H78" s="296"/>
      <c r="I78" s="295"/>
      <c r="J78" s="295"/>
      <c r="K78" s="295"/>
      <c r="L78" s="295"/>
      <c r="M78" s="295"/>
      <c r="N78" s="295"/>
      <c r="O78" s="297"/>
    </row>
    <row r="79" spans="1:15" x14ac:dyDescent="0.25">
      <c r="A79" s="9"/>
      <c r="B79" s="5"/>
      <c r="C79" s="5"/>
      <c r="D79" s="5"/>
      <c r="E79" s="5"/>
      <c r="F79" s="5"/>
      <c r="G79" s="5"/>
      <c r="H79" s="296"/>
      <c r="I79" s="632" t="s">
        <v>304</v>
      </c>
      <c r="J79" s="632"/>
      <c r="K79" s="632"/>
      <c r="L79" s="632"/>
      <c r="M79" s="632"/>
      <c r="N79" s="632"/>
      <c r="O79" s="297"/>
    </row>
    <row r="80" spans="1:15" ht="14.45" customHeight="1" x14ac:dyDescent="0.25">
      <c r="A80" s="9"/>
      <c r="B80" s="5"/>
      <c r="C80" s="5"/>
      <c r="D80" s="5"/>
      <c r="E80" s="5"/>
      <c r="F80" s="5"/>
      <c r="G80" s="5"/>
      <c r="H80" s="296"/>
      <c r="I80" s="295"/>
      <c r="J80" s="295"/>
      <c r="K80" s="295"/>
      <c r="L80" s="295"/>
      <c r="M80" s="295"/>
      <c r="N80" s="295"/>
      <c r="O80" s="297"/>
    </row>
    <row r="81" spans="1:15" x14ac:dyDescent="0.25">
      <c r="A81" s="9"/>
      <c r="B81" s="5"/>
      <c r="C81" s="5"/>
      <c r="D81" s="5"/>
      <c r="E81" s="5"/>
      <c r="F81" s="5"/>
      <c r="G81" s="5"/>
      <c r="H81" s="296"/>
      <c r="I81" s="295"/>
      <c r="J81" s="295"/>
      <c r="K81" s="295"/>
      <c r="L81" s="295"/>
      <c r="M81" s="295"/>
      <c r="N81" s="295"/>
      <c r="O81" s="297"/>
    </row>
    <row r="82" spans="1:15" x14ac:dyDescent="0.25">
      <c r="A82" s="9"/>
      <c r="B82" s="5"/>
      <c r="C82" s="5"/>
      <c r="D82" s="5"/>
      <c r="E82" s="5"/>
      <c r="F82" s="5"/>
      <c r="G82" s="5"/>
      <c r="H82" s="296"/>
      <c r="I82" s="295"/>
      <c r="J82" s="295"/>
      <c r="K82" s="295"/>
      <c r="L82" s="295"/>
      <c r="M82" s="295"/>
      <c r="N82" s="295"/>
      <c r="O82" s="297"/>
    </row>
    <row r="83" spans="1:15" x14ac:dyDescent="0.25">
      <c r="A83" s="9"/>
      <c r="B83" s="5"/>
      <c r="C83" s="5"/>
      <c r="D83" s="5"/>
      <c r="E83" s="5"/>
      <c r="F83" s="5"/>
      <c r="G83" s="5"/>
      <c r="H83" s="296"/>
      <c r="I83" s="295"/>
      <c r="J83" s="295"/>
      <c r="K83" s="295"/>
      <c r="L83" s="295"/>
      <c r="M83" s="295"/>
      <c r="N83" s="295"/>
      <c r="O83" s="297"/>
    </row>
    <row r="84" spans="1:15" ht="22.9" customHeight="1" x14ac:dyDescent="0.25">
      <c r="A84" s="9"/>
      <c r="B84" s="5"/>
      <c r="C84" s="5"/>
      <c r="D84" s="5"/>
      <c r="E84" s="5"/>
      <c r="F84" s="5"/>
      <c r="G84" s="5"/>
      <c r="H84" s="296"/>
      <c r="I84" s="295"/>
      <c r="J84" s="295"/>
      <c r="K84" s="295"/>
      <c r="L84" s="295"/>
      <c r="M84" s="295"/>
      <c r="N84" s="295"/>
      <c r="O84" s="297"/>
    </row>
    <row r="85" spans="1:15" x14ac:dyDescent="0.25">
      <c r="A85" s="9"/>
      <c r="B85" s="5"/>
      <c r="C85" s="5"/>
      <c r="D85" s="5"/>
      <c r="E85" s="5"/>
      <c r="F85" s="5"/>
      <c r="G85" s="5"/>
      <c r="H85" s="296"/>
      <c r="I85" s="295"/>
      <c r="J85" s="295"/>
      <c r="K85" s="295"/>
      <c r="L85" s="295"/>
      <c r="M85" s="295"/>
      <c r="N85" s="295"/>
      <c r="O85" s="297"/>
    </row>
    <row r="86" spans="1:15" x14ac:dyDescent="0.25">
      <c r="A86" s="9"/>
      <c r="B86" s="5"/>
      <c r="C86" s="5"/>
      <c r="D86" s="5"/>
      <c r="E86" s="5"/>
      <c r="F86" s="5"/>
      <c r="G86" s="255"/>
      <c r="H86" s="257"/>
      <c r="I86" s="293"/>
      <c r="J86" s="293"/>
      <c r="K86" s="293"/>
      <c r="L86" s="293"/>
      <c r="M86" s="293"/>
      <c r="N86" s="293"/>
      <c r="O86" s="258"/>
    </row>
    <row r="87" spans="1:15" x14ac:dyDescent="0.25">
      <c r="A87" s="9"/>
      <c r="B87" s="5"/>
      <c r="C87" s="5"/>
      <c r="D87" s="5"/>
      <c r="E87" s="5"/>
      <c r="F87" s="5"/>
      <c r="G87" s="256"/>
      <c r="H87" s="257"/>
      <c r="I87" s="293"/>
      <c r="J87" s="293"/>
      <c r="K87" s="293"/>
      <c r="L87" s="293"/>
      <c r="M87" s="293"/>
      <c r="N87" s="293"/>
      <c r="O87" s="258"/>
    </row>
    <row r="88" spans="1:15" ht="14.45" customHeight="1" x14ac:dyDescent="0.25">
      <c r="A88" s="9"/>
      <c r="B88" s="5"/>
      <c r="C88" s="5"/>
      <c r="D88" s="5"/>
      <c r="E88" s="5"/>
      <c r="F88" s="5"/>
      <c r="G88" s="256"/>
      <c r="H88" s="257"/>
      <c r="I88" s="293"/>
      <c r="J88" s="293"/>
      <c r="K88" s="293"/>
      <c r="L88" s="293"/>
      <c r="M88" s="293"/>
      <c r="N88" s="293"/>
      <c r="O88" s="258"/>
    </row>
    <row r="89" spans="1:15" ht="14.45" customHeight="1" x14ac:dyDescent="0.25">
      <c r="A89" s="9"/>
      <c r="B89" s="5"/>
      <c r="C89" s="5"/>
      <c r="D89" s="5"/>
      <c r="E89" s="5"/>
      <c r="F89" s="5"/>
      <c r="G89" s="256"/>
      <c r="H89" s="257"/>
      <c r="I89" s="293"/>
      <c r="J89" s="293"/>
      <c r="K89" s="293"/>
      <c r="L89" s="293"/>
      <c r="M89" s="293"/>
      <c r="N89" s="293"/>
      <c r="O89" s="258"/>
    </row>
    <row r="90" spans="1:15" x14ac:dyDescent="0.25">
      <c r="A90" s="9"/>
      <c r="B90" s="5"/>
      <c r="C90" s="5"/>
      <c r="D90" s="5"/>
      <c r="E90" s="5"/>
      <c r="F90" s="5"/>
      <c r="G90" s="256"/>
      <c r="H90" s="257"/>
      <c r="I90" s="293"/>
      <c r="J90" s="293"/>
      <c r="K90" s="293"/>
      <c r="L90" s="293"/>
      <c r="M90" s="293"/>
      <c r="N90" s="293"/>
      <c r="O90" s="258"/>
    </row>
    <row r="91" spans="1:15" ht="15.75" x14ac:dyDescent="0.25">
      <c r="A91" s="9"/>
      <c r="B91" s="253"/>
      <c r="C91" s="253"/>
      <c r="D91" s="253"/>
      <c r="E91" s="253"/>
      <c r="F91" s="5"/>
      <c r="G91" s="256"/>
      <c r="H91" s="257"/>
      <c r="I91" s="301"/>
      <c r="J91" s="301"/>
      <c r="K91" s="301"/>
      <c r="L91" s="301"/>
      <c r="M91" s="301"/>
      <c r="N91" s="301"/>
      <c r="O91" s="258"/>
    </row>
    <row r="92" spans="1:15" ht="15.75" x14ac:dyDescent="0.25">
      <c r="A92" s="9"/>
      <c r="B92" s="253"/>
      <c r="C92" s="253"/>
      <c r="D92" s="253"/>
      <c r="E92" s="253"/>
      <c r="F92" s="5"/>
      <c r="G92" s="256"/>
      <c r="H92" s="257"/>
      <c r="I92" s="631" t="s">
        <v>305</v>
      </c>
      <c r="J92" s="631"/>
      <c r="K92" s="631"/>
      <c r="L92" s="631"/>
      <c r="M92" s="631"/>
      <c r="N92" s="631"/>
      <c r="O92" s="258"/>
    </row>
    <row r="93" spans="1:15" ht="15.75" x14ac:dyDescent="0.25">
      <c r="A93" s="9"/>
      <c r="B93" s="253"/>
      <c r="C93" s="253"/>
      <c r="D93" s="253"/>
      <c r="E93" s="253"/>
      <c r="F93" s="5"/>
      <c r="G93" s="256"/>
      <c r="H93" s="257"/>
      <c r="I93" s="294"/>
      <c r="J93" s="294"/>
      <c r="K93" s="294"/>
      <c r="L93" s="294"/>
      <c r="M93" s="293"/>
      <c r="N93" s="293"/>
      <c r="O93" s="258"/>
    </row>
    <row r="94" spans="1:15" ht="15.75" x14ac:dyDescent="0.25">
      <c r="A94" s="9"/>
      <c r="B94" s="5"/>
      <c r="C94" s="5"/>
      <c r="D94" s="5"/>
      <c r="E94" s="253"/>
      <c r="F94" s="5"/>
      <c r="G94" s="256"/>
      <c r="H94" s="257"/>
      <c r="I94" s="294"/>
      <c r="J94" s="294"/>
      <c r="K94" s="294"/>
      <c r="L94" s="294"/>
      <c r="M94" s="293"/>
      <c r="N94" s="293"/>
      <c r="O94" s="258"/>
    </row>
    <row r="95" spans="1:15" ht="15.75" x14ac:dyDescent="0.25">
      <c r="A95" s="9"/>
      <c r="B95" s="5"/>
      <c r="C95" s="5"/>
      <c r="D95" s="650"/>
      <c r="E95" s="650"/>
      <c r="F95" s="5"/>
      <c r="G95" s="256"/>
      <c r="H95" s="257"/>
      <c r="I95" s="294"/>
      <c r="J95" s="294"/>
      <c r="K95" s="294"/>
      <c r="L95" s="294"/>
      <c r="M95" s="293"/>
      <c r="N95" s="293"/>
      <c r="O95" s="258"/>
    </row>
    <row r="96" spans="1:15" ht="14.45" customHeight="1" x14ac:dyDescent="0.25">
      <c r="A96" s="9"/>
      <c r="B96" s="5"/>
      <c r="C96" s="5"/>
      <c r="D96" s="5"/>
      <c r="E96" s="5"/>
      <c r="F96" s="5"/>
      <c r="G96" s="256"/>
      <c r="H96" s="257"/>
      <c r="I96" s="294"/>
      <c r="J96" s="294"/>
      <c r="K96" s="294"/>
      <c r="L96" s="294"/>
      <c r="M96" s="293"/>
      <c r="N96" s="293"/>
      <c r="O96" s="258"/>
    </row>
    <row r="97" spans="1:15" ht="14.45" customHeight="1" x14ac:dyDescent="0.25">
      <c r="A97" s="9"/>
      <c r="B97" s="5"/>
      <c r="C97" s="5"/>
      <c r="D97" s="5"/>
      <c r="E97" s="5"/>
      <c r="F97" s="5"/>
      <c r="G97" s="256"/>
      <c r="H97" s="257"/>
      <c r="I97" s="294"/>
      <c r="J97" s="294"/>
      <c r="K97" s="294"/>
      <c r="L97" s="294"/>
      <c r="M97" s="293"/>
      <c r="N97" s="293"/>
      <c r="O97" s="258"/>
    </row>
    <row r="98" spans="1:15" x14ac:dyDescent="0.25">
      <c r="A98" s="9"/>
      <c r="B98" s="5"/>
      <c r="C98" s="631" t="s">
        <v>276</v>
      </c>
      <c r="D98" s="631"/>
      <c r="E98" s="5"/>
      <c r="F98" s="5"/>
      <c r="G98" s="256"/>
      <c r="H98" s="257"/>
      <c r="I98" s="293"/>
      <c r="J98" s="293"/>
      <c r="K98" s="293"/>
      <c r="L98" s="293"/>
      <c r="M98" s="293"/>
      <c r="N98" s="293"/>
      <c r="O98" s="258"/>
    </row>
    <row r="99" spans="1:15" x14ac:dyDescent="0.25">
      <c r="A99" s="9"/>
      <c r="B99" s="5"/>
      <c r="C99" s="5"/>
      <c r="D99" s="5"/>
      <c r="E99" s="5"/>
      <c r="F99" s="5"/>
      <c r="G99" s="256"/>
      <c r="H99" s="257"/>
      <c r="I99" s="293"/>
      <c r="J99" s="293"/>
      <c r="K99" s="293"/>
      <c r="L99" s="293"/>
      <c r="M99" s="293"/>
      <c r="N99" s="293"/>
      <c r="O99" s="258"/>
    </row>
    <row r="100" spans="1:15" x14ac:dyDescent="0.25">
      <c r="A100" s="9"/>
      <c r="B100" s="5"/>
      <c r="C100" s="5"/>
      <c r="D100" s="5"/>
      <c r="E100" s="5"/>
      <c r="F100" s="5"/>
      <c r="G100" s="256"/>
      <c r="H100" s="257"/>
      <c r="I100" s="293"/>
      <c r="J100" s="293"/>
      <c r="K100" s="293"/>
      <c r="L100" s="293"/>
      <c r="M100" s="293"/>
      <c r="N100" s="293"/>
      <c r="O100" s="258"/>
    </row>
    <row r="101" spans="1:15" x14ac:dyDescent="0.25">
      <c r="A101" s="9"/>
      <c r="B101" s="5"/>
      <c r="C101" s="5"/>
      <c r="D101" s="5"/>
      <c r="E101" s="5"/>
      <c r="F101" s="5"/>
      <c r="G101" s="5"/>
      <c r="H101" s="257"/>
      <c r="I101" s="293"/>
      <c r="J101" s="293"/>
      <c r="K101" s="293"/>
      <c r="L101" s="293"/>
      <c r="M101" s="293"/>
      <c r="N101" s="293"/>
      <c r="O101" s="258"/>
    </row>
    <row r="102" spans="1:15" x14ac:dyDescent="0.25">
      <c r="A102" s="9"/>
      <c r="B102" s="5"/>
      <c r="C102" s="5"/>
      <c r="D102" s="5"/>
      <c r="E102" s="5"/>
      <c r="F102" s="5"/>
      <c r="G102" s="5"/>
      <c r="H102" s="257"/>
      <c r="I102" s="293"/>
      <c r="J102" s="293"/>
      <c r="K102" s="293"/>
      <c r="L102" s="293"/>
      <c r="M102" s="293"/>
      <c r="N102" s="293"/>
      <c r="O102" s="258"/>
    </row>
    <row r="103" spans="1:15" x14ac:dyDescent="0.25">
      <c r="A103" s="9"/>
      <c r="B103" s="5"/>
      <c r="C103" s="5"/>
      <c r="D103" s="5"/>
      <c r="E103" s="5"/>
      <c r="F103" s="5"/>
      <c r="G103" s="5"/>
      <c r="H103" s="257"/>
      <c r="I103" s="293"/>
      <c r="J103" s="293"/>
      <c r="K103" s="293"/>
      <c r="L103" s="293"/>
      <c r="M103" s="293"/>
      <c r="N103" s="293"/>
      <c r="O103" s="258"/>
    </row>
    <row r="104" spans="1:15" x14ac:dyDescent="0.25">
      <c r="A104" s="9"/>
      <c r="B104" s="5"/>
      <c r="C104" s="5"/>
      <c r="D104" s="5"/>
      <c r="E104" s="5"/>
      <c r="F104" s="5"/>
      <c r="G104" s="5"/>
      <c r="H104" s="257"/>
      <c r="I104" s="293"/>
      <c r="J104" s="293"/>
      <c r="K104" s="293"/>
      <c r="L104" s="293"/>
      <c r="M104" s="293"/>
      <c r="N104" s="293"/>
      <c r="O104" s="258"/>
    </row>
    <row r="105" spans="1:15" x14ac:dyDescent="0.25">
      <c r="A105" s="9"/>
      <c r="B105" s="5"/>
      <c r="C105" s="5"/>
      <c r="D105" s="5"/>
      <c r="E105" s="5"/>
      <c r="F105" s="5"/>
      <c r="G105" s="5"/>
      <c r="H105" s="257"/>
      <c r="I105" s="293"/>
      <c r="J105" s="293"/>
      <c r="K105" s="293"/>
      <c r="L105" s="293"/>
      <c r="M105" s="293"/>
      <c r="N105" s="293"/>
      <c r="O105" s="258"/>
    </row>
    <row r="106" spans="1:15" x14ac:dyDescent="0.25">
      <c r="A106" s="9"/>
      <c r="B106" s="5"/>
      <c r="C106" s="5"/>
      <c r="D106" s="5"/>
      <c r="E106" s="5"/>
      <c r="F106" s="5"/>
      <c r="G106" s="5"/>
      <c r="H106" s="257"/>
      <c r="I106" s="293"/>
      <c r="J106" s="293"/>
      <c r="K106" s="293"/>
      <c r="L106" s="293"/>
      <c r="M106" s="293"/>
      <c r="N106" s="293"/>
      <c r="O106" s="258"/>
    </row>
    <row r="107" spans="1:15" x14ac:dyDescent="0.25">
      <c r="A107" s="9"/>
      <c r="B107" s="5"/>
      <c r="C107" s="5"/>
      <c r="D107" s="5"/>
      <c r="E107" s="5"/>
      <c r="F107" s="5"/>
      <c r="G107" s="5"/>
      <c r="H107" s="257"/>
      <c r="I107" s="293"/>
      <c r="J107" s="293"/>
      <c r="K107" s="293"/>
      <c r="L107" s="293"/>
      <c r="M107" s="293"/>
      <c r="N107" s="293"/>
      <c r="O107" s="258"/>
    </row>
    <row r="108" spans="1:15" x14ac:dyDescent="0.25">
      <c r="A108" s="9"/>
      <c r="B108" s="5"/>
      <c r="C108" s="5"/>
      <c r="D108" s="5"/>
      <c r="E108" s="5"/>
      <c r="F108" s="5"/>
      <c r="G108" s="5"/>
      <c r="H108" s="257"/>
      <c r="I108" s="293"/>
      <c r="J108" s="293"/>
      <c r="K108" s="293"/>
      <c r="L108" s="293"/>
      <c r="M108" s="293"/>
      <c r="N108" s="293"/>
      <c r="O108" s="258"/>
    </row>
    <row r="109" spans="1:15" x14ac:dyDescent="0.25">
      <c r="A109" s="9"/>
      <c r="B109" s="5"/>
      <c r="C109" s="5"/>
      <c r="D109" s="5"/>
      <c r="E109" s="5"/>
      <c r="F109" s="5"/>
      <c r="G109" s="5"/>
      <c r="H109" s="257"/>
      <c r="I109" s="293"/>
      <c r="J109" s="293"/>
      <c r="K109" s="293"/>
      <c r="L109" s="293"/>
      <c r="M109" s="293"/>
      <c r="N109" s="293"/>
      <c r="O109" s="258"/>
    </row>
    <row r="110" spans="1:15" x14ac:dyDescent="0.25">
      <c r="A110" s="9"/>
      <c r="B110" s="5"/>
      <c r="C110" s="5"/>
      <c r="D110" s="5"/>
      <c r="E110" s="5"/>
      <c r="F110" s="5"/>
      <c r="G110" s="5"/>
      <c r="H110" s="257"/>
      <c r="I110" s="293"/>
      <c r="J110" s="293"/>
      <c r="K110" s="293"/>
      <c r="L110" s="293"/>
      <c r="M110" s="293"/>
      <c r="N110" s="293"/>
      <c r="O110" s="258"/>
    </row>
    <row r="111" spans="1:15" x14ac:dyDescent="0.25">
      <c r="A111" s="9"/>
      <c r="B111" s="5"/>
      <c r="C111" s="5"/>
      <c r="D111" s="5"/>
      <c r="E111" s="5"/>
      <c r="F111" s="5"/>
      <c r="G111" s="5"/>
      <c r="H111" s="257"/>
      <c r="I111" s="293"/>
      <c r="J111" s="293"/>
      <c r="K111" s="293"/>
      <c r="L111" s="293"/>
      <c r="M111" s="293"/>
      <c r="N111" s="293"/>
      <c r="O111" s="258"/>
    </row>
    <row r="112" spans="1:15" x14ac:dyDescent="0.25">
      <c r="A112" s="9"/>
      <c r="B112" s="5"/>
      <c r="C112" s="5"/>
      <c r="D112" s="5"/>
      <c r="E112" s="5"/>
      <c r="F112" s="5"/>
      <c r="G112" s="5"/>
      <c r="H112" s="257"/>
      <c r="I112" s="293"/>
      <c r="J112" s="293"/>
      <c r="K112" s="293"/>
      <c r="L112" s="293"/>
      <c r="M112" s="293"/>
      <c r="N112" s="293"/>
      <c r="O112" s="258"/>
    </row>
    <row r="113" spans="1:15" x14ac:dyDescent="0.25">
      <c r="A113" s="9"/>
      <c r="B113" s="5"/>
      <c r="C113" s="5"/>
      <c r="D113" s="5"/>
      <c r="E113" s="5"/>
      <c r="F113" s="5"/>
      <c r="G113" s="5"/>
      <c r="H113" s="257"/>
      <c r="I113" s="293"/>
      <c r="J113" s="293"/>
      <c r="K113" s="293"/>
      <c r="L113" s="293"/>
      <c r="M113" s="293"/>
      <c r="N113" s="293"/>
      <c r="O113" s="258"/>
    </row>
    <row r="114" spans="1:15" x14ac:dyDescent="0.25">
      <c r="A114" s="9"/>
      <c r="B114" s="5"/>
      <c r="C114" s="5"/>
      <c r="D114" s="5"/>
      <c r="E114" s="5"/>
      <c r="F114" s="5"/>
      <c r="G114" s="5"/>
      <c r="H114" s="257"/>
      <c r="I114" s="293"/>
      <c r="J114" s="293"/>
      <c r="K114" s="293"/>
      <c r="L114" s="293"/>
      <c r="M114" s="293"/>
      <c r="N114" s="293"/>
      <c r="O114" s="258"/>
    </row>
    <row r="115" spans="1:15" x14ac:dyDescent="0.25">
      <c r="A115" s="9"/>
      <c r="B115" s="5"/>
      <c r="C115" s="5"/>
      <c r="D115" s="5"/>
      <c r="E115" s="5"/>
      <c r="F115" s="5"/>
      <c r="G115" s="5"/>
      <c r="H115" s="257"/>
      <c r="I115" s="293"/>
      <c r="J115" s="293"/>
      <c r="K115" s="293"/>
      <c r="L115" s="293"/>
      <c r="M115" s="293"/>
      <c r="N115" s="293"/>
      <c r="O115" s="258"/>
    </row>
    <row r="116" spans="1:15" ht="15.75" thickBot="1" x14ac:dyDescent="0.3">
      <c r="A116" s="10"/>
      <c r="B116" s="11"/>
      <c r="C116" s="11"/>
      <c r="D116" s="11"/>
      <c r="E116" s="11"/>
      <c r="F116" s="11"/>
      <c r="G116" s="11"/>
      <c r="H116" s="259"/>
      <c r="I116" s="260"/>
      <c r="J116" s="260"/>
      <c r="K116" s="260"/>
      <c r="L116" s="260"/>
      <c r="M116" s="260"/>
      <c r="N116" s="260"/>
      <c r="O116" s="261"/>
    </row>
  </sheetData>
  <mergeCells count="46">
    <mergeCell ref="A1:G1"/>
    <mergeCell ref="I1:O1"/>
    <mergeCell ref="I4:L9"/>
    <mergeCell ref="B5:D5"/>
    <mergeCell ref="M7:O7"/>
    <mergeCell ref="A9:E9"/>
    <mergeCell ref="A10:C10"/>
    <mergeCell ref="I10:L10"/>
    <mergeCell ref="A11:B11"/>
    <mergeCell ref="D11:F11"/>
    <mergeCell ref="A12:C12"/>
    <mergeCell ref="I12:L12"/>
    <mergeCell ref="A13:C13"/>
    <mergeCell ref="M13:O15"/>
    <mergeCell ref="I14:L14"/>
    <mergeCell ref="I16:L16"/>
    <mergeCell ref="E18:F18"/>
    <mergeCell ref="I18:L18"/>
    <mergeCell ref="D29:F29"/>
    <mergeCell ref="A31:C31"/>
    <mergeCell ref="D39:F43"/>
    <mergeCell ref="E20:F20"/>
    <mergeCell ref="I20:L20"/>
    <mergeCell ref="A22:B22"/>
    <mergeCell ref="A23:B28"/>
    <mergeCell ref="E23:F24"/>
    <mergeCell ref="D24:D25"/>
    <mergeCell ref="E26:F26"/>
    <mergeCell ref="E27:E28"/>
    <mergeCell ref="F27:F28"/>
    <mergeCell ref="I27:O29"/>
    <mergeCell ref="I30:L31"/>
    <mergeCell ref="K32:N32"/>
    <mergeCell ref="C98:D98"/>
    <mergeCell ref="D95:E95"/>
    <mergeCell ref="E56:F56"/>
    <mergeCell ref="A57:C57"/>
    <mergeCell ref="E57:F57"/>
    <mergeCell ref="A45:C45"/>
    <mergeCell ref="C61:D61"/>
    <mergeCell ref="C78:D78"/>
    <mergeCell ref="I79:N79"/>
    <mergeCell ref="I92:N92"/>
    <mergeCell ref="L45:M45"/>
    <mergeCell ref="N45:O45"/>
    <mergeCell ref="I38:K48"/>
  </mergeCells>
  <dataValidations count="3">
    <dataValidation type="whole" operator="greaterThanOrEqual" allowBlank="1" showInputMessage="1" showErrorMessage="1" errorTitle="мимнимальный отступ от чаши" error="минимальная ширина столешницы 20мм" sqref="B8:E8" xr:uid="{AC75D7D8-5350-490A-8104-78A8E4AC613B}">
      <formula1>20</formula1>
    </dataValidation>
    <dataValidation type="whole" errorStyle="information" allowBlank="1" showInputMessage="1" showErrorMessage="1" errorTitle="Недопустимое значение" error="Ширина открытой полки может быть от 200 до 1000 мм" sqref="K34:M36" xr:uid="{3AEEDF9A-D3BF-4E43-913C-C5D1024F57BB}">
      <formula1>200</formula1>
      <formula2>1000</formula2>
    </dataValidation>
    <dataValidation type="whole" errorStyle="information" allowBlank="1" showInputMessage="1" showErrorMessage="1" errorTitle="Недопустимое значение" error="Открытая полка может быть высотой от 200 до 400 мм и равна высоте фронтального фартука" sqref="J34:J36" xr:uid="{58E73CE1-7F41-4214-809C-11E8E8DA0701}">
      <formula1>200</formula1>
      <formula2>400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rstPageNumber="2147483648" fitToHeight="0" orientation="landscape" r:id="rId1"/>
  <rowBreaks count="2" manualBreakCount="2">
    <brk id="29" max="16383" man="1"/>
    <brk id="75" max="16383" man="1"/>
  </rowBreaks>
  <colBreaks count="1" manualBreakCount="1">
    <brk id="7" max="1048575" man="1"/>
  </colBreaks>
  <ignoredErrors>
    <ignoredError sqref="C18:C19" formula="1"/>
    <ignoredError sqref="O34:O36 N34:N36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FF1E08BB-7278-4FB8-9F09-3F77D48C95D2}">
          <x14:formula1>
            <xm:f>Списки!$E$64:$E$66</xm:f>
          </x14:formula1>
          <xm:sqref>E22</xm:sqref>
        </x14:dataValidation>
        <x14:dataValidation type="list" allowBlank="1" showInputMessage="1" showErrorMessage="1" xr:uid="{D548A393-E5CC-418C-B931-4A501C559B2F}">
          <x14:formula1>
            <xm:f>Списки!$B$59:$B$62</xm:f>
          </x14:formula1>
          <xm:sqref>I24 I26</xm:sqref>
        </x14:dataValidation>
        <x14:dataValidation type="list" allowBlank="1" showInputMessage="1" showErrorMessage="1" xr:uid="{9A87B40B-8FE0-4D9F-9B78-F99C3C62DC91}">
          <x14:formula1>
            <xm:f>Списки!$B$64:$B$66</xm:f>
          </x14:formula1>
          <xm:sqref>I22</xm:sqref>
        </x14:dataValidation>
        <x14:dataValidation type="list" allowBlank="1" showInputMessage="1" showErrorMessage="1" xr:uid="{1D11589C-773C-4A1E-8434-B73E5D11D189}">
          <x14:formula1>
            <xm:f>Списки!$C$64:$C$65</xm:f>
          </x14:formula1>
          <xm:sqref>K22:L22</xm:sqref>
        </x14:dataValidation>
        <x14:dataValidation type="list" allowBlank="1" showInputMessage="1" showErrorMessage="1" xr:uid="{33A0A832-498D-4366-9F4C-61F91AB4C7A7}">
          <x14:formula1>
            <xm:f>Списки!$D$59:$D$61</xm:f>
          </x14:formula1>
          <xm:sqref>K24:L24</xm:sqref>
        </x14:dataValidation>
        <x14:dataValidation type="list" allowBlank="1" showInputMessage="1" showErrorMessage="1" xr:uid="{C62DA6EA-F382-45EC-A716-8CD26F3F655E}">
          <x14:formula1>
            <xm:f>Списки!$B$68:$B$69</xm:f>
          </x14:formula1>
          <xm:sqref>C22</xm:sqref>
        </x14:dataValidation>
        <x14:dataValidation type="list" showInputMessage="1" showErrorMessage="1" xr:uid="{8D73EAD7-99D7-483F-90E7-E4EA69E304FA}">
          <x14:formula1>
            <xm:f>Списки!$B$52:$B$53</xm:f>
          </x14:formula1>
          <xm:sqref>F25</xm:sqref>
        </x14:dataValidation>
        <x14:dataValidation type="list" allowBlank="1" showInputMessage="1" showErrorMessage="1" xr:uid="{9FEC47B0-E11F-4EDA-A78C-DCCF1F97714C}">
          <x14:formula1>
            <xm:f>Списки!$B$38:$B$39</xm:f>
          </x14:formula1>
          <xm:sqref>F8:H8</xm:sqref>
        </x14:dataValidation>
        <x14:dataValidation type="list" allowBlank="1" showInputMessage="1" showErrorMessage="1" xr:uid="{CF19DBCD-544A-43D8-8885-7D99B029A717}">
          <x14:formula1>
            <xm:f>Списки!$B$41:$B$47</xm:f>
          </x14:formula1>
          <xm:sqref>A8</xm:sqref>
        </x14:dataValidation>
        <x14:dataValidation type="list" allowBlank="1" showInputMessage="1" showErrorMessage="1" xr:uid="{D5DD7AF5-069A-495B-B470-15055AB16BB2}">
          <x14:formula1>
            <xm:f>Списки!$E$20:$E$22</xm:f>
          </x14:formula1>
          <xm:sqref>F27:F28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648C1-F900-447D-A8D6-B0505E5D6619}">
  <sheetPr>
    <tabColor theme="7"/>
  </sheetPr>
  <dimension ref="A1:AR119"/>
  <sheetViews>
    <sheetView topLeftCell="A31" zoomScale="70" zoomScaleNormal="70" zoomScaleSheetLayoutView="81" zoomScalePageLayoutView="82" workbookViewId="0">
      <selection activeCell="C62" sqref="C62:D62"/>
    </sheetView>
  </sheetViews>
  <sheetFormatPr defaultColWidth="8.85546875" defaultRowHeight="15" x14ac:dyDescent="0.25"/>
  <cols>
    <col min="1" max="1" width="39.85546875" style="1" customWidth="1"/>
    <col min="2" max="2" width="18.7109375" style="1" customWidth="1"/>
    <col min="3" max="3" width="20.28515625" style="1" customWidth="1"/>
    <col min="4" max="4" width="18.85546875" style="1" customWidth="1"/>
    <col min="5" max="5" width="22.7109375" style="1" customWidth="1"/>
    <col min="6" max="6" width="25.28515625" style="1" customWidth="1"/>
    <col min="7" max="8" width="3.28515625" style="1" customWidth="1"/>
    <col min="9" max="14" width="21.7109375" style="1" customWidth="1"/>
    <col min="15" max="15" width="9.5703125" style="1" customWidth="1"/>
    <col min="16" max="16384" width="8.85546875" style="1"/>
  </cols>
  <sheetData>
    <row r="1" spans="1:44" s="5" customFormat="1" ht="28.9" customHeight="1" x14ac:dyDescent="0.25">
      <c r="A1" s="544" t="s">
        <v>279</v>
      </c>
      <c r="B1" s="545"/>
      <c r="C1" s="545"/>
      <c r="D1" s="545"/>
      <c r="E1" s="545"/>
      <c r="F1" s="545"/>
      <c r="G1" s="546"/>
      <c r="H1" s="19"/>
      <c r="I1" s="545" t="s">
        <v>121</v>
      </c>
      <c r="J1" s="545"/>
      <c r="K1" s="545"/>
      <c r="L1" s="545"/>
      <c r="M1" s="545"/>
      <c r="N1" s="545"/>
      <c r="O1" s="546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s="5" customFormat="1" x14ac:dyDescent="0.25">
      <c r="A2" s="13" t="s">
        <v>1</v>
      </c>
      <c r="B2" s="56">
        <f>720*380*10*1985/1000000000*1.4+(B8+720+D8)*(C8+380+E8)*15*1985/1000000000+SUM(I17,J17,K17,L17)+(720*380*10*1985/1000000000*1.4)*E22+H37+H38+H39</f>
        <v>24.442495999999998</v>
      </c>
      <c r="C2" s="51" t="s">
        <v>133</v>
      </c>
      <c r="D2" s="52">
        <f>VLOOKUP(A8,Списки!B55:D57,2,FALSE)</f>
        <v>720</v>
      </c>
      <c r="F2" s="32" t="s">
        <v>116</v>
      </c>
      <c r="G2" s="30"/>
      <c r="H2" s="29"/>
      <c r="M2" s="117"/>
      <c r="N2" s="118"/>
      <c r="O2" s="8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x14ac:dyDescent="0.25">
      <c r="A3" s="13" t="s">
        <v>6</v>
      </c>
      <c r="B3" s="55">
        <f>B8+D2+D8</f>
        <v>846</v>
      </c>
      <c r="C3" s="51" t="s">
        <v>134</v>
      </c>
      <c r="D3" s="52">
        <f>VLOOKUP(A8,Списки!B55:D57,3,FALSE)</f>
        <v>360</v>
      </c>
      <c r="F3" s="33" t="s">
        <v>117</v>
      </c>
      <c r="G3" s="30"/>
      <c r="H3" s="29"/>
      <c r="I3" s="42" t="s">
        <v>102</v>
      </c>
      <c r="J3" s="42" t="s">
        <v>103</v>
      </c>
      <c r="K3" s="42" t="s">
        <v>104</v>
      </c>
      <c r="L3" s="43" t="s">
        <v>105</v>
      </c>
      <c r="M3" s="117"/>
      <c r="N3" s="118"/>
      <c r="O3" s="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s="5" customFormat="1" x14ac:dyDescent="0.25">
      <c r="A4" s="13" t="s">
        <v>7</v>
      </c>
      <c r="B4" s="55">
        <f>D3+C8+E8</f>
        <v>500</v>
      </c>
      <c r="C4" s="27" t="s">
        <v>136</v>
      </c>
      <c r="D4" s="50">
        <f>C11+F22+I19+J19+K19+L19+C15+C16+C17+C18+C19+C20+C22+I22*16800+K22*16800+L22*16800+N37+N38+N39</f>
        <v>0</v>
      </c>
      <c r="F4" s="34" t="s">
        <v>118</v>
      </c>
      <c r="G4" s="30"/>
      <c r="H4" s="29"/>
      <c r="I4" s="777"/>
      <c r="J4" s="777"/>
      <c r="K4" s="777"/>
      <c r="L4" s="777"/>
      <c r="M4" s="119"/>
      <c r="N4" s="118"/>
      <c r="O4" s="8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s="5" customFormat="1" x14ac:dyDescent="0.25">
      <c r="A5" s="31" t="s">
        <v>131</v>
      </c>
      <c r="B5" s="681"/>
      <c r="C5" s="681"/>
      <c r="D5" s="681"/>
      <c r="G5" s="8"/>
      <c r="H5" s="9"/>
      <c r="I5" s="777"/>
      <c r="J5" s="777"/>
      <c r="K5" s="777"/>
      <c r="L5" s="777"/>
      <c r="M5" s="119"/>
      <c r="N5" s="118"/>
      <c r="O5" s="8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s="5" customFormat="1" x14ac:dyDescent="0.25">
      <c r="A6" s="9"/>
      <c r="G6" s="8"/>
      <c r="H6" s="9"/>
      <c r="I6" s="777"/>
      <c r="J6" s="777"/>
      <c r="K6" s="777"/>
      <c r="L6" s="777"/>
      <c r="M6" s="119"/>
      <c r="N6" s="118"/>
      <c r="O6" s="8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s="5" customFormat="1" ht="25.5" x14ac:dyDescent="0.25">
      <c r="A7" s="14" t="s">
        <v>14</v>
      </c>
      <c r="B7" s="16" t="s">
        <v>81</v>
      </c>
      <c r="C7" s="16" t="s">
        <v>82</v>
      </c>
      <c r="D7" s="16" t="s">
        <v>83</v>
      </c>
      <c r="E7" s="16" t="s">
        <v>84</v>
      </c>
      <c r="F7" s="3" t="s">
        <v>16</v>
      </c>
      <c r="G7" s="35"/>
      <c r="H7" s="44"/>
      <c r="I7" s="777"/>
      <c r="J7" s="777"/>
      <c r="K7" s="777"/>
      <c r="L7" s="777"/>
      <c r="M7" s="647" t="s">
        <v>283</v>
      </c>
      <c r="N7" s="648"/>
      <c r="O7" s="75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s="5" customFormat="1" ht="16.899999999999999" customHeight="1" x14ac:dyDescent="0.25">
      <c r="A8" s="15" t="s">
        <v>153</v>
      </c>
      <c r="B8" s="21">
        <v>63</v>
      </c>
      <c r="C8" s="21">
        <v>40</v>
      </c>
      <c r="D8" s="21">
        <v>63</v>
      </c>
      <c r="E8" s="21">
        <v>100</v>
      </c>
      <c r="F8" s="6" t="s">
        <v>18</v>
      </c>
      <c r="G8" s="23"/>
      <c r="H8" s="24"/>
      <c r="I8" s="777"/>
      <c r="J8" s="777"/>
      <c r="K8" s="777"/>
      <c r="L8" s="777"/>
      <c r="M8" s="119"/>
      <c r="N8" s="118"/>
      <c r="O8" s="8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s="5" customFormat="1" ht="28.15" customHeight="1" x14ac:dyDescent="0.25">
      <c r="A9" s="682" t="s">
        <v>284</v>
      </c>
      <c r="B9" s="683"/>
      <c r="C9" s="683"/>
      <c r="D9" s="683"/>
      <c r="E9" s="802"/>
      <c r="F9" s="21"/>
      <c r="G9" s="25"/>
      <c r="H9" s="45"/>
      <c r="I9" s="777"/>
      <c r="J9" s="777"/>
      <c r="K9" s="777"/>
      <c r="L9" s="777"/>
      <c r="M9" s="119"/>
      <c r="N9" s="120"/>
      <c r="O9" s="8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6.899999999999999" customHeight="1" x14ac:dyDescent="0.25">
      <c r="A10" s="685" t="s">
        <v>137</v>
      </c>
      <c r="B10" s="686"/>
      <c r="C10" s="686"/>
      <c r="D10" s="28"/>
      <c r="E10" s="28"/>
      <c r="F10" s="28"/>
      <c r="G10" s="8"/>
      <c r="H10" s="9"/>
      <c r="I10" s="777" t="s">
        <v>107</v>
      </c>
      <c r="J10" s="777"/>
      <c r="K10" s="777"/>
      <c r="L10" s="777"/>
      <c r="M10" s="119"/>
      <c r="N10" s="121"/>
      <c r="O10" s="8"/>
    </row>
    <row r="11" spans="1:44" ht="16.899999999999999" customHeight="1" x14ac:dyDescent="0.25">
      <c r="A11" s="687" t="s">
        <v>135</v>
      </c>
      <c r="B11" s="688"/>
      <c r="C11" s="22">
        <v>0</v>
      </c>
      <c r="D11" s="800" t="s">
        <v>180</v>
      </c>
      <c r="E11" s="801"/>
      <c r="F11" s="801"/>
      <c r="G11" s="36"/>
      <c r="H11" s="46"/>
      <c r="I11" s="40">
        <v>846</v>
      </c>
      <c r="J11" s="40">
        <v>0</v>
      </c>
      <c r="K11" s="40">
        <v>500</v>
      </c>
      <c r="L11" s="40">
        <v>0</v>
      </c>
      <c r="M11" s="263"/>
      <c r="N11" s="122"/>
      <c r="O11" s="60"/>
    </row>
    <row r="12" spans="1:44" s="2" customFormat="1" x14ac:dyDescent="0.25">
      <c r="A12" s="673"/>
      <c r="B12" s="674"/>
      <c r="C12" s="674"/>
      <c r="D12" s="5"/>
      <c r="E12" s="302"/>
      <c r="F12" s="302"/>
      <c r="G12" s="37"/>
      <c r="H12" s="47"/>
      <c r="I12" s="777" t="s">
        <v>106</v>
      </c>
      <c r="J12" s="777"/>
      <c r="K12" s="777"/>
      <c r="L12" s="777"/>
      <c r="M12" s="263"/>
      <c r="N12" s="122"/>
      <c r="O12" s="60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ht="21.6" customHeight="1" x14ac:dyDescent="0.25">
      <c r="A13" s="795" t="s">
        <v>147</v>
      </c>
      <c r="B13" s="796"/>
      <c r="C13" s="796"/>
      <c r="D13" s="5"/>
      <c r="E13" s="5"/>
      <c r="F13" s="5"/>
      <c r="G13" s="38"/>
      <c r="H13" s="48"/>
      <c r="I13" s="40">
        <v>100</v>
      </c>
      <c r="J13" s="40">
        <v>0</v>
      </c>
      <c r="K13" s="40">
        <v>100</v>
      </c>
      <c r="L13" s="40">
        <v>0</v>
      </c>
      <c r="M13" s="122"/>
      <c r="N13" s="122"/>
      <c r="O13" s="60"/>
    </row>
    <row r="14" spans="1:44" ht="14.45" customHeight="1" x14ac:dyDescent="0.25">
      <c r="A14" s="131" t="s">
        <v>16</v>
      </c>
      <c r="B14" s="20" t="s">
        <v>17</v>
      </c>
      <c r="C14" s="26" t="s">
        <v>15</v>
      </c>
      <c r="D14" s="5"/>
      <c r="E14" s="5"/>
      <c r="F14" s="5"/>
      <c r="G14" s="39"/>
      <c r="H14" s="49"/>
      <c r="I14" s="777" t="s">
        <v>108</v>
      </c>
      <c r="J14" s="777"/>
      <c r="K14" s="777"/>
      <c r="L14" s="777"/>
      <c r="M14" s="647" t="s">
        <v>282</v>
      </c>
      <c r="N14" s="648"/>
      <c r="O14" s="755"/>
    </row>
    <row r="15" spans="1:44" ht="14.45" customHeight="1" x14ac:dyDescent="0.2">
      <c r="A15" s="217" t="s">
        <v>144</v>
      </c>
      <c r="B15" s="78">
        <v>0</v>
      </c>
      <c r="C15" s="82">
        <f>B15*3700</f>
        <v>0</v>
      </c>
      <c r="D15" s="5"/>
      <c r="E15" s="5"/>
      <c r="F15" s="5"/>
      <c r="G15" s="39"/>
      <c r="H15" s="49"/>
      <c r="I15" s="40"/>
      <c r="J15" s="40"/>
      <c r="K15" s="40"/>
      <c r="L15" s="40"/>
      <c r="M15" s="647"/>
      <c r="N15" s="648"/>
      <c r="O15" s="755"/>
    </row>
    <row r="16" spans="1:44" ht="15.6" customHeight="1" x14ac:dyDescent="0.2">
      <c r="A16" s="217" t="s">
        <v>145</v>
      </c>
      <c r="B16" s="78">
        <v>0</v>
      </c>
      <c r="C16" s="82">
        <f>B16*5600</f>
        <v>0</v>
      </c>
      <c r="D16" s="129"/>
      <c r="E16" s="5"/>
      <c r="F16" s="5"/>
      <c r="G16" s="8"/>
      <c r="H16" s="9"/>
      <c r="I16" s="777" t="s">
        <v>109</v>
      </c>
      <c r="J16" s="777"/>
      <c r="K16" s="777"/>
      <c r="L16" s="777"/>
      <c r="M16" s="647"/>
      <c r="N16" s="648"/>
      <c r="O16" s="755"/>
    </row>
    <row r="17" spans="1:15" ht="15.6" customHeight="1" x14ac:dyDescent="0.2">
      <c r="A17" s="217" t="s">
        <v>240</v>
      </c>
      <c r="B17" s="78">
        <v>0</v>
      </c>
      <c r="C17" s="82">
        <f>B17*10100</f>
        <v>0</v>
      </c>
      <c r="D17" s="5"/>
      <c r="E17" s="5"/>
      <c r="F17" s="5"/>
      <c r="G17" s="8"/>
      <c r="H17" s="9"/>
      <c r="I17" s="41">
        <f t="shared" ref="I17:J17" si="0">I11*I13*14*1985/1000000000</f>
        <v>2.3510339999999998</v>
      </c>
      <c r="J17" s="41">
        <f t="shared" si="0"/>
        <v>0</v>
      </c>
      <c r="K17" s="41">
        <f>K11*K13*14*1985/1000000000</f>
        <v>1.3895</v>
      </c>
      <c r="L17" s="41">
        <f>L11*L13*14*1985/1000000000</f>
        <v>0</v>
      </c>
      <c r="M17" s="119"/>
      <c r="N17" s="120"/>
      <c r="O17" s="8"/>
    </row>
    <row r="18" spans="1:15" ht="16.899999999999999" customHeight="1" x14ac:dyDescent="0.2">
      <c r="A18" s="217" t="s">
        <v>241</v>
      </c>
      <c r="B18" s="78">
        <v>0</v>
      </c>
      <c r="C18" s="79">
        <f>B18*12100</f>
        <v>0</v>
      </c>
      <c r="D18" s="186" t="s">
        <v>146</v>
      </c>
      <c r="E18" s="797" t="s">
        <v>245</v>
      </c>
      <c r="F18" s="798"/>
      <c r="G18" s="8"/>
      <c r="H18" s="9"/>
      <c r="I18" s="799" t="s">
        <v>110</v>
      </c>
      <c r="J18" s="799"/>
      <c r="K18" s="799"/>
      <c r="L18" s="799"/>
      <c r="M18" s="119"/>
      <c r="N18" s="5"/>
      <c r="O18" s="8"/>
    </row>
    <row r="19" spans="1:15" ht="17.45" customHeight="1" x14ac:dyDescent="0.2">
      <c r="A19" s="217" t="s">
        <v>242</v>
      </c>
      <c r="B19" s="78">
        <v>0</v>
      </c>
      <c r="C19" s="79">
        <f>B19*10100</f>
        <v>0</v>
      </c>
      <c r="D19" s="5"/>
      <c r="E19" s="130"/>
      <c r="F19" s="303"/>
      <c r="G19" s="8"/>
      <c r="H19" s="9"/>
      <c r="I19" s="22">
        <v>0</v>
      </c>
      <c r="J19" s="22">
        <v>0</v>
      </c>
      <c r="K19" s="22">
        <v>0</v>
      </c>
      <c r="L19" s="22">
        <v>0</v>
      </c>
      <c r="M19" s="119"/>
      <c r="N19" s="5"/>
      <c r="O19" s="8"/>
    </row>
    <row r="20" spans="1:15" ht="17.45" customHeight="1" x14ac:dyDescent="0.2">
      <c r="A20" s="217" t="s">
        <v>243</v>
      </c>
      <c r="B20" s="78">
        <v>0</v>
      </c>
      <c r="C20" s="79">
        <f>B20*12100</f>
        <v>0</v>
      </c>
      <c r="D20" s="133"/>
      <c r="E20" s="657" t="s">
        <v>181</v>
      </c>
      <c r="F20" s="658"/>
      <c r="G20" s="8"/>
      <c r="H20" s="9"/>
      <c r="I20" s="782" t="s">
        <v>171</v>
      </c>
      <c r="J20" s="782"/>
      <c r="K20" s="782"/>
      <c r="L20" s="782"/>
      <c r="M20" s="119"/>
      <c r="N20" s="5"/>
      <c r="O20" s="8"/>
    </row>
    <row r="21" spans="1:15" x14ac:dyDescent="0.25">
      <c r="A21" s="783"/>
      <c r="B21" s="784"/>
      <c r="C21" s="784"/>
      <c r="D21" s="302"/>
      <c r="E21" s="136" t="s">
        <v>17</v>
      </c>
      <c r="F21" s="136" t="s">
        <v>15</v>
      </c>
      <c r="G21" s="8"/>
      <c r="H21" s="9"/>
      <c r="I21" s="218" t="s">
        <v>174</v>
      </c>
      <c r="J21" s="93"/>
      <c r="K21" s="218" t="s">
        <v>174</v>
      </c>
      <c r="L21" s="218" t="s">
        <v>174</v>
      </c>
      <c r="M21" s="119"/>
      <c r="N21" s="5"/>
      <c r="O21" s="8"/>
    </row>
    <row r="22" spans="1:15" x14ac:dyDescent="0.25">
      <c r="A22" s="562" t="s">
        <v>170</v>
      </c>
      <c r="B22" s="563"/>
      <c r="C22" s="139">
        <v>0</v>
      </c>
      <c r="D22" s="304"/>
      <c r="E22" s="137">
        <v>0</v>
      </c>
      <c r="F22" s="138">
        <f>E22*29400</f>
        <v>0</v>
      </c>
      <c r="G22" s="8"/>
      <c r="H22" s="9"/>
      <c r="I22" s="115">
        <v>0</v>
      </c>
      <c r="J22" s="94"/>
      <c r="K22" s="115">
        <v>0</v>
      </c>
      <c r="L22" s="115">
        <v>0</v>
      </c>
      <c r="M22" s="119"/>
      <c r="N22" s="5"/>
      <c r="O22" s="8"/>
    </row>
    <row r="23" spans="1:15" x14ac:dyDescent="0.25">
      <c r="A23" s="666" t="s">
        <v>266</v>
      </c>
      <c r="B23" s="667"/>
      <c r="C23" s="127"/>
      <c r="D23" s="304"/>
      <c r="E23" s="785" t="s">
        <v>179</v>
      </c>
      <c r="F23" s="785"/>
      <c r="G23" s="8"/>
      <c r="H23" s="9"/>
      <c r="I23" s="219" t="s">
        <v>172</v>
      </c>
      <c r="J23" s="94"/>
      <c r="K23" s="219" t="s">
        <v>175</v>
      </c>
      <c r="L23" s="219" t="s">
        <v>175</v>
      </c>
      <c r="M23" s="119"/>
      <c r="N23" s="5"/>
      <c r="O23" s="8"/>
    </row>
    <row r="24" spans="1:15" x14ac:dyDescent="0.25">
      <c r="A24" s="666"/>
      <c r="B24" s="667"/>
      <c r="C24" s="127"/>
      <c r="D24" s="304"/>
      <c r="E24" s="785"/>
      <c r="F24" s="785"/>
      <c r="G24" s="8"/>
      <c r="H24" s="9"/>
      <c r="I24" s="116" t="s">
        <v>24</v>
      </c>
      <c r="J24" s="94"/>
      <c r="K24" s="116" t="s">
        <v>24</v>
      </c>
      <c r="L24" s="116" t="s">
        <v>24</v>
      </c>
      <c r="M24" s="119"/>
      <c r="N24" s="5"/>
      <c r="O24" s="8"/>
    </row>
    <row r="25" spans="1:15" x14ac:dyDescent="0.25">
      <c r="A25" s="666"/>
      <c r="B25" s="667"/>
      <c r="C25" s="127"/>
      <c r="D25" s="304"/>
      <c r="E25" s="198" t="s">
        <v>139</v>
      </c>
      <c r="F25" s="137" t="s">
        <v>148</v>
      </c>
      <c r="G25" s="8"/>
      <c r="H25" s="9"/>
      <c r="I25" s="219" t="s">
        <v>173</v>
      </c>
      <c r="J25" s="94"/>
      <c r="K25" s="96"/>
      <c r="L25" s="96"/>
      <c r="M25" s="119"/>
      <c r="N25" s="5"/>
      <c r="O25" s="8"/>
    </row>
    <row r="26" spans="1:15" x14ac:dyDescent="0.25">
      <c r="A26" s="666"/>
      <c r="B26" s="667"/>
      <c r="C26" s="127"/>
      <c r="D26" s="304"/>
      <c r="E26" s="786" t="s">
        <v>265</v>
      </c>
      <c r="F26" s="786"/>
      <c r="G26" s="8"/>
      <c r="H26" s="9"/>
      <c r="I26" s="116" t="s">
        <v>24</v>
      </c>
      <c r="J26" s="94"/>
      <c r="K26" s="94"/>
      <c r="L26" s="94"/>
      <c r="M26" s="119"/>
      <c r="N26" s="5"/>
      <c r="O26" s="8"/>
    </row>
    <row r="27" spans="1:15" ht="14.45" customHeight="1" x14ac:dyDescent="0.25">
      <c r="A27" s="666"/>
      <c r="B27" s="667"/>
      <c r="C27" s="127"/>
      <c r="D27" s="304"/>
      <c r="E27" s="787"/>
      <c r="F27" s="787"/>
      <c r="G27" s="8"/>
      <c r="H27" s="9"/>
      <c r="I27" s="617" t="s">
        <v>264</v>
      </c>
      <c r="J27" s="617"/>
      <c r="K27" s="617"/>
      <c r="L27" s="617"/>
      <c r="M27" s="305"/>
      <c r="N27" s="305"/>
      <c r="O27" s="134"/>
    </row>
    <row r="28" spans="1:15" x14ac:dyDescent="0.25">
      <c r="A28" s="666"/>
      <c r="B28" s="667"/>
      <c r="C28" s="127"/>
      <c r="D28" s="304"/>
      <c r="E28" s="671" t="s">
        <v>33</v>
      </c>
      <c r="F28" s="672" t="s">
        <v>4</v>
      </c>
      <c r="G28" s="8"/>
      <c r="H28" s="9"/>
      <c r="I28" s="617"/>
      <c r="J28" s="617"/>
      <c r="K28" s="617"/>
      <c r="L28" s="617"/>
      <c r="M28" s="305"/>
      <c r="N28" s="305"/>
      <c r="O28" s="134"/>
    </row>
    <row r="29" spans="1:15" x14ac:dyDescent="0.25">
      <c r="A29" s="666"/>
      <c r="B29" s="667"/>
      <c r="C29" s="111"/>
      <c r="D29" s="304"/>
      <c r="E29" s="671"/>
      <c r="F29" s="672"/>
      <c r="G29" s="8"/>
      <c r="H29" s="9"/>
      <c r="I29" s="617"/>
      <c r="J29" s="617"/>
      <c r="K29" s="617"/>
      <c r="L29" s="617"/>
      <c r="M29" s="305"/>
      <c r="N29" s="305"/>
      <c r="O29" s="134"/>
    </row>
    <row r="30" spans="1:15" ht="14.45" customHeight="1" x14ac:dyDescent="0.25">
      <c r="A30" s="788"/>
      <c r="B30" s="789"/>
      <c r="C30" s="789"/>
      <c r="D30" s="304"/>
      <c r="E30" s="793" t="s">
        <v>307</v>
      </c>
      <c r="F30" s="793"/>
      <c r="G30" s="8"/>
      <c r="H30" s="9"/>
      <c r="I30" s="617"/>
      <c r="J30" s="617"/>
      <c r="K30" s="617"/>
      <c r="L30" s="617"/>
      <c r="M30" s="5"/>
      <c r="N30" s="5"/>
      <c r="O30" s="8"/>
    </row>
    <row r="31" spans="1:15" x14ac:dyDescent="0.25">
      <c r="A31" s="790"/>
      <c r="B31" s="789"/>
      <c r="C31" s="789"/>
      <c r="D31" s="304"/>
      <c r="E31" s="794"/>
      <c r="F31" s="794"/>
      <c r="G31" s="8"/>
      <c r="H31" s="9"/>
      <c r="I31" s="617"/>
      <c r="J31" s="617"/>
      <c r="K31" s="617"/>
      <c r="L31" s="617"/>
      <c r="M31" s="5"/>
      <c r="N31" s="5"/>
      <c r="O31" s="8"/>
    </row>
    <row r="32" spans="1:15" ht="15.75" thickBot="1" x14ac:dyDescent="0.3">
      <c r="A32" s="791"/>
      <c r="B32" s="792"/>
      <c r="C32" s="792"/>
      <c r="D32" s="84"/>
      <c r="E32" s="11"/>
      <c r="F32" s="11"/>
      <c r="G32" s="12"/>
      <c r="H32" s="10"/>
      <c r="I32" s="619"/>
      <c r="J32" s="619"/>
      <c r="K32" s="619"/>
      <c r="L32" s="619"/>
      <c r="M32" s="11"/>
      <c r="N32" s="11"/>
      <c r="O32" s="12"/>
    </row>
    <row r="33" spans="1:15" ht="10.15" customHeight="1" x14ac:dyDescent="0.25">
      <c r="A33" s="54"/>
      <c r="B33" s="123"/>
      <c r="C33" s="124"/>
      <c r="D33" s="123"/>
      <c r="E33" s="123"/>
      <c r="F33" s="123"/>
      <c r="G33" s="53"/>
      <c r="H33" s="54"/>
      <c r="I33" s="654" t="s">
        <v>290</v>
      </c>
      <c r="J33" s="654"/>
      <c r="K33" s="654"/>
      <c r="L33" s="654"/>
      <c r="M33" s="123"/>
      <c r="N33" s="123"/>
      <c r="O33" s="53"/>
    </row>
    <row r="34" spans="1:15" ht="15.6" customHeight="1" x14ac:dyDescent="0.25">
      <c r="A34" s="636" t="s">
        <v>267</v>
      </c>
      <c r="B34" s="629"/>
      <c r="C34" s="629"/>
      <c r="D34" s="779" t="s">
        <v>268</v>
      </c>
      <c r="E34" s="779"/>
      <c r="F34" s="779"/>
      <c r="G34" s="8"/>
      <c r="H34" s="9"/>
      <c r="I34" s="655"/>
      <c r="J34" s="655"/>
      <c r="K34" s="655"/>
      <c r="L34" s="655"/>
      <c r="M34" s="122"/>
      <c r="N34" s="122"/>
      <c r="O34" s="60"/>
    </row>
    <row r="35" spans="1:15" ht="14.45" customHeight="1" x14ac:dyDescent="0.25">
      <c r="A35" s="9"/>
      <c r="B35" s="5"/>
      <c r="C35" s="5"/>
      <c r="D35" s="306"/>
      <c r="E35" s="306"/>
      <c r="F35" s="306"/>
      <c r="G35" s="8"/>
      <c r="H35" s="9"/>
      <c r="I35" s="122"/>
      <c r="J35" s="122"/>
      <c r="K35" s="617" t="s">
        <v>299</v>
      </c>
      <c r="L35" s="617"/>
      <c r="M35" s="617"/>
      <c r="N35" s="617"/>
      <c r="O35" s="60"/>
    </row>
    <row r="36" spans="1:15" ht="14.45" customHeight="1" x14ac:dyDescent="0.25">
      <c r="A36" s="9"/>
      <c r="B36" s="5"/>
      <c r="C36" s="5"/>
      <c r="D36" s="306"/>
      <c r="E36" s="306"/>
      <c r="F36" s="306"/>
      <c r="G36" s="8"/>
      <c r="H36" s="65"/>
      <c r="I36" s="275" t="s">
        <v>289</v>
      </c>
      <c r="J36" s="291" t="s">
        <v>300</v>
      </c>
      <c r="K36" s="283" t="s">
        <v>293</v>
      </c>
      <c r="L36" s="283" t="s">
        <v>294</v>
      </c>
      <c r="M36" s="283" t="s">
        <v>295</v>
      </c>
      <c r="N36" s="275" t="s">
        <v>296</v>
      </c>
      <c r="O36" s="63"/>
    </row>
    <row r="37" spans="1:15" ht="14.45" customHeight="1" x14ac:dyDescent="0.25">
      <c r="A37" s="9"/>
      <c r="B37" s="5"/>
      <c r="C37" s="5"/>
      <c r="D37" s="306"/>
      <c r="E37" s="306"/>
      <c r="F37" s="306"/>
      <c r="G37" s="8"/>
      <c r="H37" s="298">
        <f>J37/1000*$B$4/1000*0.014*1800*IF(AND(O37&gt;=200,O37&lt;=1000,OR(K37&gt;=200,L37&gt;=200,M37&gt;=200)),COUNTIFS(K37:M37,"&gt;=200",K37:M37,"&lt;=1000"))+O37/1000*$B$4/1000*0.014*1800</f>
        <v>0</v>
      </c>
      <c r="I37" s="279" t="s">
        <v>271</v>
      </c>
      <c r="J37" s="280">
        <v>200</v>
      </c>
      <c r="K37" s="282">
        <v>0</v>
      </c>
      <c r="L37" s="282">
        <v>0</v>
      </c>
      <c r="M37" s="282">
        <v>0</v>
      </c>
      <c r="N37" s="279">
        <f>IF(AND(O37&gt;=200,O37&lt;=1000,OR(K37&gt;=200,L37&gt;=200,M37&gt;=200)),IF($F$8="RAL, указать:",IF(AND(O37&gt;=200,O37&lt;=1000,OR(K37&gt;=200,L37&gt;=200,M37&gt;=200)),COUNTIFS(K37:M37,"&gt;=200",K37:M37,"&lt;=1000")*25000*1.5),IF(AND(O37&gt;=200,O37&lt;=1000,OR(K37&gt;=200,L37&gt;=200,M37&gt;=200)),COUNTIFS(K37:M37,"&gt;=200",K37:M37,"&lt;=1000")*25000)),0)</f>
        <v>0</v>
      </c>
      <c r="O37" s="292">
        <f>SUM(K37:M37)</f>
        <v>0</v>
      </c>
    </row>
    <row r="38" spans="1:15" ht="14.45" customHeight="1" x14ac:dyDescent="0.25">
      <c r="A38" s="9"/>
      <c r="B38" s="5"/>
      <c r="C38" s="5"/>
      <c r="D38" s="5"/>
      <c r="E38" s="306"/>
      <c r="F38" s="306"/>
      <c r="G38" s="8"/>
      <c r="H38" s="298">
        <f t="shared" ref="H38:H39" si="1">J38/1000*$B$4/1000*0.014*1800*IF(AND(O38&gt;=200,O38&lt;=1000,OR(K38&gt;=200,L38&gt;=200,M38&gt;=200)),COUNTIFS(K38:M38,"&gt;=200",K38:M38,"&lt;=1000"))+O38/1000*$B$4/1000*0.014*1800</f>
        <v>0</v>
      </c>
      <c r="I38" s="279" t="s">
        <v>272</v>
      </c>
      <c r="J38" s="280">
        <v>200</v>
      </c>
      <c r="K38" s="282">
        <v>0</v>
      </c>
      <c r="L38" s="282">
        <v>0</v>
      </c>
      <c r="M38" s="282">
        <v>0</v>
      </c>
      <c r="N38" s="279">
        <f t="shared" ref="N38:N39" si="2">IF(AND(O38&gt;=200,O38&lt;=1000,OR(K38&gt;=200,L38&gt;=200,M38&gt;=200)),IF($F$8="RAL, указать:",IF(AND(O38&gt;=200,O38&lt;=1000,OR(K38&gt;=200,L38&gt;=200,M38&gt;=200)),COUNTIFS(K38:M38,"&gt;=200",K38:M38,"&lt;=1000")*25000*1.5),IF(AND(O38&gt;=200,O38&lt;=1000,OR(K38&gt;=200,L38&gt;=200,M38&gt;=200)),COUNTIFS(K38:M38,"&gt;=200",K38:M38,"&lt;=1000")*25000)),0)</f>
        <v>0</v>
      </c>
      <c r="O38" s="292">
        <f t="shared" ref="O38:O39" si="3">SUM(K38:M38)</f>
        <v>0</v>
      </c>
    </row>
    <row r="39" spans="1:15" ht="14.45" customHeight="1" x14ac:dyDescent="0.25">
      <c r="A39" s="9"/>
      <c r="B39" s="5"/>
      <c r="C39" s="5"/>
      <c r="D39" s="5"/>
      <c r="E39" s="306"/>
      <c r="F39" s="306"/>
      <c r="G39" s="8"/>
      <c r="H39" s="298">
        <f t="shared" si="1"/>
        <v>0</v>
      </c>
      <c r="I39" s="279" t="s">
        <v>291</v>
      </c>
      <c r="J39" s="280">
        <v>200</v>
      </c>
      <c r="K39" s="282">
        <v>0</v>
      </c>
      <c r="L39" s="282">
        <v>0</v>
      </c>
      <c r="M39" s="282">
        <v>0</v>
      </c>
      <c r="N39" s="279">
        <f t="shared" si="2"/>
        <v>0</v>
      </c>
      <c r="O39" s="292">
        <f t="shared" si="3"/>
        <v>0</v>
      </c>
    </row>
    <row r="40" spans="1:15" ht="14.45" customHeight="1" x14ac:dyDescent="0.25">
      <c r="A40" s="9"/>
      <c r="B40" s="5"/>
      <c r="C40" s="5"/>
      <c r="D40" s="5"/>
      <c r="E40" s="307"/>
      <c r="F40" s="307"/>
      <c r="G40" s="8"/>
      <c r="H40" s="9"/>
      <c r="I40" s="5"/>
      <c r="J40" s="5"/>
      <c r="K40" s="5"/>
      <c r="L40" s="5"/>
      <c r="M40" s="5"/>
      <c r="N40" s="5"/>
      <c r="O40" s="8"/>
    </row>
    <row r="41" spans="1:15" ht="14.45" customHeight="1" x14ac:dyDescent="0.25">
      <c r="A41" s="9"/>
      <c r="B41" s="5"/>
      <c r="C41" s="5"/>
      <c r="D41" s="5"/>
      <c r="E41" s="307"/>
      <c r="F41" s="307"/>
      <c r="G41" s="8"/>
      <c r="H41" s="9"/>
      <c r="I41" s="633" t="s">
        <v>303</v>
      </c>
      <c r="J41" s="633"/>
      <c r="K41" s="633"/>
      <c r="L41" s="165"/>
      <c r="M41" s="165"/>
      <c r="N41" s="165"/>
      <c r="O41" s="169"/>
    </row>
    <row r="42" spans="1:15" x14ac:dyDescent="0.25">
      <c r="A42" s="9"/>
      <c r="B42" s="5"/>
      <c r="C42" s="5"/>
      <c r="D42" s="5"/>
      <c r="E42" s="5"/>
      <c r="F42" s="5"/>
      <c r="G42" s="8"/>
      <c r="H42" s="9"/>
      <c r="I42" s="633"/>
      <c r="J42" s="633"/>
      <c r="K42" s="633"/>
      <c r="L42" s="165"/>
      <c r="M42" s="165"/>
      <c r="N42" s="165"/>
      <c r="O42" s="169"/>
    </row>
    <row r="43" spans="1:15" x14ac:dyDescent="0.25">
      <c r="A43" s="9"/>
      <c r="B43" s="5"/>
      <c r="C43" s="5"/>
      <c r="D43" s="5"/>
      <c r="E43" s="5"/>
      <c r="F43" s="5"/>
      <c r="G43" s="8"/>
      <c r="H43" s="9"/>
      <c r="I43" s="633"/>
      <c r="J43" s="633"/>
      <c r="K43" s="633"/>
      <c r="L43" s="165"/>
      <c r="M43" s="165"/>
      <c r="N43" s="165"/>
      <c r="O43" s="169"/>
    </row>
    <row r="44" spans="1:15" x14ac:dyDescent="0.25">
      <c r="A44" s="9"/>
      <c r="B44" s="5"/>
      <c r="C44" s="5"/>
      <c r="D44" s="5"/>
      <c r="E44" s="5"/>
      <c r="F44" s="5"/>
      <c r="G44" s="8"/>
      <c r="H44" s="9"/>
      <c r="I44" s="633"/>
      <c r="J44" s="633"/>
      <c r="K44" s="633"/>
      <c r="L44" s="165"/>
      <c r="M44" s="165"/>
      <c r="N44" s="165"/>
      <c r="O44" s="169"/>
    </row>
    <row r="45" spans="1:15" x14ac:dyDescent="0.25">
      <c r="A45" s="9"/>
      <c r="B45" s="5"/>
      <c r="C45" s="5"/>
      <c r="D45" s="5"/>
      <c r="E45" s="5"/>
      <c r="F45" s="5"/>
      <c r="G45" s="8"/>
      <c r="H45" s="9"/>
      <c r="I45" s="633"/>
      <c r="J45" s="633"/>
      <c r="K45" s="633"/>
      <c r="L45" s="165"/>
      <c r="M45" s="165"/>
      <c r="N45" s="165"/>
      <c r="O45" s="169"/>
    </row>
    <row r="46" spans="1:15" x14ac:dyDescent="0.25">
      <c r="A46" s="9"/>
      <c r="B46" s="5"/>
      <c r="C46" s="5"/>
      <c r="D46" s="5"/>
      <c r="E46" s="5"/>
      <c r="F46" s="5"/>
      <c r="G46" s="8"/>
      <c r="H46" s="9"/>
      <c r="I46" s="633"/>
      <c r="J46" s="633"/>
      <c r="K46" s="633"/>
      <c r="L46" s="165"/>
      <c r="M46" s="165"/>
      <c r="N46" s="165"/>
      <c r="O46" s="169"/>
    </row>
    <row r="47" spans="1:15" ht="15.6" customHeight="1" x14ac:dyDescent="0.25">
      <c r="A47" s="125"/>
      <c r="B47" s="120"/>
      <c r="C47" s="635" t="s">
        <v>151</v>
      </c>
      <c r="D47" s="635"/>
      <c r="E47" s="120"/>
      <c r="F47" s="120"/>
      <c r="G47" s="8"/>
      <c r="H47" s="9"/>
      <c r="I47" s="633"/>
      <c r="J47" s="633"/>
      <c r="K47" s="633"/>
      <c r="M47" s="165"/>
      <c r="N47" s="165"/>
      <c r="O47" s="169"/>
    </row>
    <row r="48" spans="1:15" ht="14.45" customHeight="1" x14ac:dyDescent="0.25">
      <c r="A48" s="9"/>
      <c r="B48" s="5"/>
      <c r="C48" s="5"/>
      <c r="D48" s="5"/>
      <c r="E48" s="5"/>
      <c r="F48" s="5"/>
      <c r="G48" s="8"/>
      <c r="H48" s="9"/>
      <c r="I48" s="633"/>
      <c r="J48" s="633"/>
      <c r="K48" s="633"/>
      <c r="L48" s="656" t="s">
        <v>306</v>
      </c>
      <c r="M48" s="656"/>
      <c r="N48" s="602" t="s">
        <v>285</v>
      </c>
      <c r="O48" s="603"/>
    </row>
    <row r="49" spans="1:15" x14ac:dyDescent="0.25">
      <c r="A49" s="9"/>
      <c r="B49" s="5"/>
      <c r="C49" s="5"/>
      <c r="D49" s="5"/>
      <c r="E49" s="5"/>
      <c r="F49" s="5"/>
      <c r="G49" s="8"/>
      <c r="H49" s="9"/>
      <c r="I49" s="633"/>
      <c r="J49" s="633"/>
      <c r="K49" s="633"/>
      <c r="L49" s="122"/>
      <c r="M49" s="165"/>
      <c r="N49" s="165"/>
      <c r="O49" s="169"/>
    </row>
    <row r="50" spans="1:15" x14ac:dyDescent="0.25">
      <c r="A50" s="9"/>
      <c r="B50" s="5"/>
      <c r="C50" s="5"/>
      <c r="D50" s="5"/>
      <c r="E50" s="5"/>
      <c r="F50" s="5"/>
      <c r="G50" s="8"/>
      <c r="H50" s="9"/>
      <c r="I50" s="633"/>
      <c r="J50" s="633"/>
      <c r="K50" s="633"/>
      <c r="L50" s="122"/>
      <c r="M50" s="165"/>
      <c r="N50" s="165"/>
      <c r="O50" s="169"/>
    </row>
    <row r="51" spans="1:15" x14ac:dyDescent="0.25">
      <c r="A51" s="9"/>
      <c r="B51" s="5"/>
      <c r="C51" s="5"/>
      <c r="D51" s="5"/>
      <c r="E51" s="5"/>
      <c r="F51" s="5"/>
      <c r="G51" s="8"/>
      <c r="H51" s="9"/>
      <c r="I51" s="633"/>
      <c r="J51" s="633"/>
      <c r="K51" s="633"/>
      <c r="L51" s="122"/>
      <c r="M51" s="165"/>
      <c r="N51" s="165"/>
      <c r="O51" s="169"/>
    </row>
    <row r="52" spans="1:15" ht="19.149999999999999" customHeight="1" x14ac:dyDescent="0.25">
      <c r="A52" s="9"/>
      <c r="B52" s="5"/>
      <c r="C52" s="5"/>
      <c r="D52" s="5"/>
      <c r="E52" s="5"/>
      <c r="F52" s="5"/>
      <c r="G52" s="8"/>
      <c r="H52" s="9"/>
      <c r="I52" s="5"/>
      <c r="J52" s="5"/>
      <c r="K52" s="5"/>
      <c r="L52" s="5"/>
      <c r="M52" s="5"/>
      <c r="N52" s="5"/>
      <c r="O52" s="8"/>
    </row>
    <row r="53" spans="1:15" x14ac:dyDescent="0.25">
      <c r="A53" s="9"/>
      <c r="B53" s="5"/>
      <c r="C53" s="5"/>
      <c r="D53" s="5"/>
      <c r="E53" s="5"/>
      <c r="F53" s="5"/>
      <c r="G53" s="8"/>
      <c r="H53" s="9"/>
      <c r="I53" s="5"/>
      <c r="J53" s="5"/>
      <c r="K53" s="5"/>
      <c r="L53" s="5"/>
      <c r="M53" s="5"/>
      <c r="N53" s="5"/>
      <c r="O53" s="8"/>
    </row>
    <row r="54" spans="1:15" x14ac:dyDescent="0.25">
      <c r="A54" s="9"/>
      <c r="B54" s="5"/>
      <c r="C54" s="5"/>
      <c r="D54" s="5"/>
      <c r="E54" s="5"/>
      <c r="F54" s="5"/>
      <c r="G54" s="8"/>
      <c r="H54" s="9"/>
      <c r="I54" s="5"/>
      <c r="J54" s="5"/>
      <c r="K54" s="5"/>
      <c r="L54" s="5"/>
      <c r="M54" s="5"/>
      <c r="N54" s="5"/>
      <c r="O54" s="8"/>
    </row>
    <row r="55" spans="1:15" x14ac:dyDescent="0.25">
      <c r="A55" s="9"/>
      <c r="B55" s="5"/>
      <c r="C55" s="630" t="s">
        <v>152</v>
      </c>
      <c r="D55" s="630"/>
      <c r="E55" s="5"/>
      <c r="F55" s="5"/>
      <c r="G55" s="8"/>
      <c r="H55" s="9"/>
      <c r="I55" s="5"/>
      <c r="J55" s="5"/>
      <c r="K55" s="5"/>
      <c r="L55" s="5"/>
      <c r="M55" s="5"/>
      <c r="N55" s="5"/>
      <c r="O55" s="8"/>
    </row>
    <row r="56" spans="1:15" x14ac:dyDescent="0.25">
      <c r="A56" s="9"/>
      <c r="B56" s="5"/>
      <c r="C56" s="5"/>
      <c r="D56" s="5"/>
      <c r="E56" s="5"/>
      <c r="F56" s="5"/>
      <c r="G56" s="8"/>
      <c r="H56" s="9"/>
      <c r="I56" s="5"/>
      <c r="J56" s="5"/>
      <c r="K56" s="5"/>
      <c r="L56" s="5"/>
      <c r="M56" s="5"/>
      <c r="N56" s="5"/>
      <c r="O56" s="8"/>
    </row>
    <row r="57" spans="1:15" x14ac:dyDescent="0.25">
      <c r="A57" s="9"/>
      <c r="B57" s="5"/>
      <c r="C57" s="5"/>
      <c r="D57" s="5"/>
      <c r="E57" s="5"/>
      <c r="F57" s="5"/>
      <c r="G57" s="8"/>
      <c r="H57" s="9"/>
      <c r="I57" s="5"/>
      <c r="J57" s="5"/>
      <c r="K57" s="5"/>
      <c r="L57" s="5"/>
      <c r="M57" s="5"/>
      <c r="N57" s="5"/>
      <c r="O57" s="8"/>
    </row>
    <row r="58" spans="1:15" x14ac:dyDescent="0.25">
      <c r="A58" s="9"/>
      <c r="B58" s="5"/>
      <c r="C58" s="5"/>
      <c r="D58" s="5"/>
      <c r="E58" s="5"/>
      <c r="F58" s="5"/>
      <c r="G58" s="8"/>
      <c r="H58" s="9"/>
      <c r="I58" s="5"/>
      <c r="J58" s="5"/>
      <c r="K58" s="5"/>
      <c r="L58" s="5"/>
      <c r="M58" s="5"/>
      <c r="N58" s="5"/>
      <c r="O58" s="8"/>
    </row>
    <row r="59" spans="1:15" x14ac:dyDescent="0.25">
      <c r="A59" s="9"/>
      <c r="B59" s="5"/>
      <c r="C59" s="5"/>
      <c r="D59" s="5"/>
      <c r="E59" s="5"/>
      <c r="F59" s="5"/>
      <c r="G59" s="8"/>
      <c r="H59" s="9"/>
      <c r="I59" s="5"/>
      <c r="J59" s="5"/>
      <c r="K59" s="5"/>
      <c r="L59" s="5"/>
      <c r="M59" s="5"/>
      <c r="N59" s="5"/>
      <c r="O59" s="8"/>
    </row>
    <row r="60" spans="1:15" ht="13.9" customHeight="1" x14ac:dyDescent="0.25">
      <c r="A60" s="9"/>
      <c r="B60" s="5"/>
      <c r="C60" s="5"/>
      <c r="D60" s="5"/>
      <c r="E60" s="5"/>
      <c r="F60" s="5"/>
      <c r="G60" s="8"/>
      <c r="H60" s="9"/>
      <c r="I60" s="5"/>
      <c r="J60" s="5"/>
      <c r="K60" s="5"/>
      <c r="L60" s="5"/>
      <c r="M60" s="5"/>
      <c r="N60" s="5"/>
      <c r="O60" s="8"/>
    </row>
    <row r="61" spans="1:15" x14ac:dyDescent="0.25">
      <c r="A61" s="9"/>
      <c r="B61" s="5"/>
      <c r="C61" s="5"/>
      <c r="D61" s="5"/>
      <c r="E61" s="5"/>
      <c r="F61" s="5"/>
      <c r="G61" s="8"/>
      <c r="H61" s="9"/>
      <c r="I61" s="5"/>
      <c r="J61" s="5"/>
      <c r="K61" s="5"/>
      <c r="L61" s="5"/>
      <c r="M61" s="5"/>
      <c r="N61" s="5"/>
      <c r="O61" s="8"/>
    </row>
    <row r="62" spans="1:15" ht="14.45" customHeight="1" x14ac:dyDescent="0.25">
      <c r="A62" s="9"/>
      <c r="B62" s="5"/>
      <c r="C62" s="630" t="s">
        <v>153</v>
      </c>
      <c r="D62" s="630"/>
      <c r="E62" s="5"/>
      <c r="F62" s="5"/>
      <c r="G62" s="8"/>
      <c r="H62" s="9"/>
      <c r="I62" s="5"/>
      <c r="J62" s="5"/>
      <c r="K62" s="5"/>
      <c r="L62" s="5"/>
      <c r="M62" s="5"/>
      <c r="N62" s="5"/>
      <c r="O62" s="8"/>
    </row>
    <row r="63" spans="1:15" x14ac:dyDescent="0.25">
      <c r="A63" s="9"/>
      <c r="B63" s="5"/>
      <c r="C63" s="5"/>
      <c r="D63" s="5"/>
      <c r="E63" s="5"/>
      <c r="F63" s="5"/>
      <c r="G63" s="8"/>
      <c r="H63" s="9"/>
      <c r="I63" s="5"/>
      <c r="J63" s="5"/>
      <c r="K63" s="5"/>
      <c r="L63" s="5"/>
      <c r="M63" s="5"/>
      <c r="N63" s="5"/>
      <c r="O63" s="8"/>
    </row>
    <row r="64" spans="1:15" x14ac:dyDescent="0.25">
      <c r="A64" s="9"/>
      <c r="B64" s="5"/>
      <c r="C64" s="5"/>
      <c r="D64" s="5"/>
      <c r="E64" s="5"/>
      <c r="F64" s="5"/>
      <c r="G64" s="8"/>
      <c r="H64" s="9"/>
      <c r="I64" s="5"/>
      <c r="J64" s="5"/>
      <c r="K64" s="5"/>
      <c r="L64" s="5"/>
      <c r="M64" s="5"/>
      <c r="N64" s="5"/>
      <c r="O64" s="8"/>
    </row>
    <row r="65" spans="1:15" x14ac:dyDescent="0.25">
      <c r="A65" s="9"/>
      <c r="B65" s="5"/>
      <c r="C65" s="5"/>
      <c r="D65" s="5"/>
      <c r="E65" s="5"/>
      <c r="F65" s="5"/>
      <c r="G65" s="8"/>
      <c r="H65" s="9"/>
      <c r="I65" s="5"/>
      <c r="J65" s="5"/>
      <c r="K65" s="5"/>
      <c r="L65" s="5"/>
      <c r="M65" s="5"/>
      <c r="N65" s="5"/>
      <c r="O65" s="8"/>
    </row>
    <row r="66" spans="1:15" x14ac:dyDescent="0.25">
      <c r="A66" s="9"/>
      <c r="B66" s="5"/>
      <c r="C66" s="5"/>
      <c r="D66" s="5"/>
      <c r="E66" s="5"/>
      <c r="F66" s="5"/>
      <c r="G66" s="8"/>
      <c r="H66" s="9"/>
      <c r="I66" s="5"/>
      <c r="J66" s="5"/>
      <c r="K66" s="5"/>
      <c r="L66" s="5"/>
      <c r="M66" s="5"/>
      <c r="N66" s="5"/>
      <c r="O66" s="8"/>
    </row>
    <row r="67" spans="1:15" x14ac:dyDescent="0.25">
      <c r="A67" s="9"/>
      <c r="B67" s="5"/>
      <c r="C67" s="5"/>
      <c r="D67" s="5"/>
      <c r="E67" s="5"/>
      <c r="F67" s="5"/>
      <c r="G67" s="8"/>
      <c r="H67" s="9"/>
      <c r="I67" s="5"/>
      <c r="J67" s="5"/>
      <c r="K67" s="5"/>
      <c r="L67" s="5"/>
      <c r="M67" s="5"/>
      <c r="N67" s="5"/>
      <c r="O67" s="8"/>
    </row>
    <row r="68" spans="1:15" x14ac:dyDescent="0.25">
      <c r="A68" s="9"/>
      <c r="B68" s="5"/>
      <c r="C68" s="5"/>
      <c r="D68" s="5"/>
      <c r="E68" s="5"/>
      <c r="F68" s="5"/>
      <c r="G68" s="8"/>
      <c r="H68" s="9"/>
      <c r="I68" s="5"/>
      <c r="J68" s="5"/>
      <c r="K68" s="5"/>
      <c r="L68" s="5"/>
      <c r="M68" s="5"/>
      <c r="N68" s="5"/>
      <c r="O68" s="8"/>
    </row>
    <row r="69" spans="1:15" x14ac:dyDescent="0.25">
      <c r="A69" s="9"/>
      <c r="B69" s="5"/>
      <c r="C69" s="5"/>
      <c r="D69" s="5"/>
      <c r="E69" s="5"/>
      <c r="F69" s="5"/>
      <c r="G69" s="8"/>
      <c r="H69" s="9"/>
      <c r="I69" s="5"/>
      <c r="J69" s="5"/>
      <c r="K69" s="5"/>
      <c r="L69" s="5"/>
      <c r="M69" s="5"/>
      <c r="N69" s="5"/>
      <c r="O69" s="8"/>
    </row>
    <row r="70" spans="1:15" x14ac:dyDescent="0.25">
      <c r="A70" s="9"/>
      <c r="B70" s="5"/>
      <c r="C70" s="5"/>
      <c r="D70" s="5"/>
      <c r="E70" s="5"/>
      <c r="F70" s="5"/>
      <c r="G70" s="8"/>
      <c r="H70" s="9"/>
      <c r="I70" s="5"/>
      <c r="J70" s="5"/>
      <c r="K70" s="5"/>
      <c r="L70" s="5"/>
      <c r="M70" s="5"/>
      <c r="N70" s="5"/>
      <c r="O70" s="8"/>
    </row>
    <row r="71" spans="1:15" x14ac:dyDescent="0.25">
      <c r="A71" s="9"/>
      <c r="B71" s="5"/>
      <c r="C71" s="5"/>
      <c r="D71" s="5"/>
      <c r="E71" s="5"/>
      <c r="F71" s="5"/>
      <c r="G71" s="8"/>
      <c r="H71" s="9"/>
      <c r="I71" s="5"/>
      <c r="J71" s="5"/>
      <c r="K71" s="5"/>
      <c r="L71" s="5"/>
      <c r="M71" s="5"/>
      <c r="N71" s="5"/>
      <c r="O71" s="8"/>
    </row>
    <row r="72" spans="1:15" ht="14.45" customHeight="1" x14ac:dyDescent="0.25">
      <c r="A72" s="9"/>
      <c r="B72" s="5"/>
      <c r="C72" s="5"/>
      <c r="D72" s="780" t="s">
        <v>280</v>
      </c>
      <c r="E72" s="781"/>
      <c r="F72" s="781"/>
      <c r="G72" s="8"/>
      <c r="H72" s="9"/>
      <c r="I72" s="5"/>
      <c r="J72" s="5"/>
      <c r="K72" s="5"/>
      <c r="L72" s="5"/>
      <c r="M72" s="5"/>
      <c r="N72" s="5"/>
      <c r="O72" s="8"/>
    </row>
    <row r="73" spans="1:15" x14ac:dyDescent="0.25">
      <c r="A73" s="9"/>
      <c r="B73" s="5"/>
      <c r="C73" s="5"/>
      <c r="D73" s="781"/>
      <c r="E73" s="781"/>
      <c r="F73" s="781"/>
      <c r="G73" s="8"/>
      <c r="H73" s="9"/>
      <c r="I73" s="5"/>
      <c r="J73" s="5"/>
      <c r="K73" s="5"/>
      <c r="L73" s="5"/>
      <c r="M73" s="5"/>
      <c r="N73" s="5"/>
      <c r="O73" s="8"/>
    </row>
    <row r="74" spans="1:15" ht="14.45" customHeight="1" x14ac:dyDescent="0.25">
      <c r="A74" s="9"/>
      <c r="B74" s="5"/>
      <c r="C74" s="5"/>
      <c r="D74" s="781"/>
      <c r="E74" s="781"/>
      <c r="F74" s="781"/>
      <c r="G74" s="8"/>
      <c r="H74" s="9"/>
      <c r="I74" s="5"/>
      <c r="J74" s="5"/>
      <c r="K74" s="5"/>
      <c r="L74" s="5"/>
      <c r="M74" s="5"/>
      <c r="N74" s="5"/>
      <c r="O74" s="8"/>
    </row>
    <row r="75" spans="1:15" x14ac:dyDescent="0.25">
      <c r="A75" s="9"/>
      <c r="B75" s="5"/>
      <c r="C75" s="5"/>
      <c r="D75" s="781"/>
      <c r="E75" s="781"/>
      <c r="F75" s="781"/>
      <c r="G75" s="8"/>
      <c r="H75" s="9"/>
      <c r="I75" s="5"/>
      <c r="J75" s="5"/>
      <c r="K75" s="5"/>
      <c r="L75" s="5"/>
      <c r="M75" s="5"/>
      <c r="N75" s="5"/>
      <c r="O75" s="8"/>
    </row>
    <row r="76" spans="1:15" x14ac:dyDescent="0.25">
      <c r="A76" s="9"/>
      <c r="B76" s="5"/>
      <c r="C76" s="5"/>
      <c r="D76" s="781"/>
      <c r="E76" s="781"/>
      <c r="F76" s="781"/>
      <c r="G76" s="8"/>
      <c r="H76" s="9"/>
      <c r="I76" s="5"/>
      <c r="J76" s="5"/>
      <c r="K76" s="5"/>
      <c r="L76" s="5"/>
      <c r="M76" s="5"/>
      <c r="N76" s="5"/>
      <c r="O76" s="8"/>
    </row>
    <row r="77" spans="1:15" x14ac:dyDescent="0.25">
      <c r="A77" s="9"/>
      <c r="B77" s="5"/>
      <c r="C77" s="5"/>
      <c r="D77" s="781"/>
      <c r="E77" s="781"/>
      <c r="F77" s="781"/>
      <c r="G77" s="8"/>
      <c r="H77" s="9"/>
      <c r="I77" s="5"/>
      <c r="J77" s="5"/>
      <c r="K77" s="5"/>
      <c r="L77" s="5"/>
      <c r="M77" s="5"/>
      <c r="N77" s="5"/>
      <c r="O77" s="8"/>
    </row>
    <row r="78" spans="1:15" ht="14.45" customHeight="1" x14ac:dyDescent="0.25">
      <c r="A78" s="9"/>
      <c r="B78" s="5"/>
      <c r="C78" s="5"/>
      <c r="D78" s="5"/>
      <c r="E78" s="5"/>
      <c r="F78" s="5"/>
      <c r="G78" s="8"/>
      <c r="H78" s="9"/>
      <c r="I78" s="5"/>
      <c r="J78" s="5"/>
      <c r="K78" s="5"/>
      <c r="L78" s="5"/>
      <c r="M78" s="5"/>
      <c r="N78" s="5"/>
      <c r="O78" s="8"/>
    </row>
    <row r="79" spans="1:15" x14ac:dyDescent="0.25">
      <c r="A79" s="9"/>
      <c r="B79" s="5"/>
      <c r="C79" s="5"/>
      <c r="D79" s="5"/>
      <c r="E79" s="5"/>
      <c r="F79" s="5"/>
      <c r="G79" s="8"/>
      <c r="H79" s="9"/>
      <c r="I79" s="5"/>
      <c r="J79" s="5"/>
      <c r="K79" s="5"/>
      <c r="L79" s="5"/>
      <c r="M79" s="5"/>
      <c r="N79" s="5"/>
      <c r="O79" s="8"/>
    </row>
    <row r="80" spans="1:15" ht="14.45" customHeight="1" x14ac:dyDescent="0.25">
      <c r="A80" s="9"/>
      <c r="B80" s="5"/>
      <c r="C80" s="5"/>
      <c r="D80" s="5"/>
      <c r="E80" s="5"/>
      <c r="F80" s="5"/>
      <c r="G80" s="8"/>
      <c r="H80" s="9"/>
      <c r="I80" s="5"/>
      <c r="J80" s="5"/>
      <c r="K80" s="5"/>
      <c r="L80" s="5"/>
      <c r="M80" s="5"/>
      <c r="N80" s="5"/>
      <c r="O80" s="8"/>
    </row>
    <row r="81" spans="1:15" ht="14.45" customHeight="1" x14ac:dyDescent="0.25">
      <c r="A81" s="9"/>
      <c r="B81" s="5"/>
      <c r="C81" s="5"/>
      <c r="D81" s="5"/>
      <c r="E81" s="5"/>
      <c r="F81" s="5"/>
      <c r="G81" s="8"/>
      <c r="H81" s="9"/>
      <c r="I81" s="5"/>
      <c r="J81" s="5"/>
      <c r="K81" s="5"/>
      <c r="L81" s="5"/>
      <c r="M81" s="5"/>
      <c r="N81" s="5"/>
      <c r="O81" s="8"/>
    </row>
    <row r="82" spans="1:15" x14ac:dyDescent="0.25">
      <c r="A82" s="9"/>
      <c r="B82" s="5"/>
      <c r="C82" s="5"/>
      <c r="D82" s="5"/>
      <c r="E82" s="5"/>
      <c r="F82" s="5"/>
      <c r="G82" s="8"/>
      <c r="H82" s="296"/>
      <c r="I82" s="632" t="s">
        <v>304</v>
      </c>
      <c r="J82" s="632"/>
      <c r="K82" s="632"/>
      <c r="L82" s="632"/>
      <c r="M82" s="632"/>
      <c r="N82" s="632"/>
      <c r="O82" s="297"/>
    </row>
    <row r="83" spans="1:15" x14ac:dyDescent="0.25">
      <c r="A83" s="9"/>
      <c r="B83" s="5"/>
      <c r="C83" s="5"/>
      <c r="D83" s="5"/>
      <c r="E83" s="5"/>
      <c r="F83" s="5"/>
      <c r="G83" s="8"/>
      <c r="H83" s="296"/>
      <c r="I83" s="295"/>
      <c r="J83" s="295"/>
      <c r="K83" s="295"/>
      <c r="L83" s="295"/>
      <c r="M83" s="295"/>
      <c r="N83" s="295"/>
      <c r="O83" s="297"/>
    </row>
    <row r="84" spans="1:15" x14ac:dyDescent="0.25">
      <c r="A84" s="9"/>
      <c r="B84" s="5"/>
      <c r="C84" s="5"/>
      <c r="D84" s="5"/>
      <c r="E84" s="5"/>
      <c r="F84" s="5"/>
      <c r="G84" s="8"/>
      <c r="H84" s="296"/>
      <c r="I84" s="295"/>
      <c r="J84" s="295"/>
      <c r="K84" s="295"/>
      <c r="L84" s="295"/>
      <c r="M84" s="295"/>
      <c r="N84" s="295"/>
      <c r="O84" s="297"/>
    </row>
    <row r="85" spans="1:15" x14ac:dyDescent="0.25">
      <c r="A85" s="9"/>
      <c r="B85" s="5"/>
      <c r="C85" s="5"/>
      <c r="D85" s="5"/>
      <c r="E85" s="5"/>
      <c r="F85" s="5"/>
      <c r="G85" s="8"/>
      <c r="H85" s="296"/>
      <c r="I85" s="295"/>
      <c r="J85" s="295"/>
      <c r="K85" s="295"/>
      <c r="L85" s="295"/>
      <c r="M85" s="295"/>
      <c r="N85" s="295"/>
      <c r="O85" s="297"/>
    </row>
    <row r="86" spans="1:15" x14ac:dyDescent="0.25">
      <c r="A86" s="9"/>
      <c r="B86" s="5"/>
      <c r="C86" s="5"/>
      <c r="D86" s="5"/>
      <c r="E86" s="5"/>
      <c r="F86" s="5"/>
      <c r="G86" s="8"/>
      <c r="H86" s="296"/>
      <c r="I86" s="295"/>
      <c r="J86" s="295"/>
      <c r="K86" s="295"/>
      <c r="L86" s="295"/>
      <c r="M86" s="295"/>
      <c r="N86" s="295"/>
      <c r="O86" s="297"/>
    </row>
    <row r="87" spans="1:15" x14ac:dyDescent="0.25">
      <c r="A87" s="9"/>
      <c r="B87" s="5"/>
      <c r="C87" s="5"/>
      <c r="D87" s="5"/>
      <c r="E87" s="5"/>
      <c r="F87" s="5"/>
      <c r="G87" s="8"/>
      <c r="H87" s="296"/>
      <c r="I87" s="295"/>
      <c r="J87" s="295"/>
      <c r="K87" s="295"/>
      <c r="L87" s="295"/>
      <c r="M87" s="295"/>
      <c r="N87" s="295"/>
      <c r="O87" s="297"/>
    </row>
    <row r="88" spans="1:15" x14ac:dyDescent="0.25">
      <c r="A88" s="9"/>
      <c r="B88" s="5"/>
      <c r="C88" s="5"/>
      <c r="D88" s="5"/>
      <c r="E88" s="5"/>
      <c r="F88" s="5"/>
      <c r="G88" s="8"/>
      <c r="H88" s="296"/>
      <c r="I88" s="295"/>
      <c r="J88" s="295"/>
      <c r="K88" s="295"/>
      <c r="L88" s="295"/>
      <c r="M88" s="295"/>
      <c r="N88" s="295"/>
      <c r="O88" s="297"/>
    </row>
    <row r="89" spans="1:15" x14ac:dyDescent="0.25">
      <c r="A89" s="9"/>
      <c r="B89" s="5"/>
      <c r="C89" s="5"/>
      <c r="D89" s="5"/>
      <c r="E89" s="5"/>
      <c r="F89" s="5"/>
      <c r="G89" s="8"/>
      <c r="H89" s="257"/>
      <c r="I89" s="293"/>
      <c r="J89" s="293"/>
      <c r="K89" s="293"/>
      <c r="L89" s="293"/>
      <c r="M89" s="293"/>
      <c r="N89" s="293"/>
      <c r="O89" s="258"/>
    </row>
    <row r="90" spans="1:15" x14ac:dyDescent="0.25">
      <c r="A90" s="9"/>
      <c r="B90" s="5"/>
      <c r="C90" s="5"/>
      <c r="D90" s="5"/>
      <c r="E90" s="5"/>
      <c r="F90" s="5"/>
      <c r="G90" s="8"/>
      <c r="H90" s="257"/>
      <c r="I90" s="293"/>
      <c r="J90" s="293"/>
      <c r="K90" s="293"/>
      <c r="L90" s="293"/>
      <c r="M90" s="293"/>
      <c r="N90" s="293"/>
      <c r="O90" s="258"/>
    </row>
    <row r="91" spans="1:15" x14ac:dyDescent="0.25">
      <c r="A91" s="9"/>
      <c r="B91" s="5"/>
      <c r="C91" s="5"/>
      <c r="D91" s="5"/>
      <c r="E91" s="5"/>
      <c r="F91" s="5"/>
      <c r="G91" s="8"/>
      <c r="H91" s="257"/>
      <c r="I91" s="293"/>
      <c r="J91" s="293"/>
      <c r="K91" s="293"/>
      <c r="L91" s="293"/>
      <c r="M91" s="293"/>
      <c r="N91" s="293"/>
      <c r="O91" s="258"/>
    </row>
    <row r="92" spans="1:15" x14ac:dyDescent="0.25">
      <c r="A92" s="9"/>
      <c r="B92" s="5"/>
      <c r="C92" s="5"/>
      <c r="D92" s="5"/>
      <c r="E92" s="5"/>
      <c r="F92" s="5"/>
      <c r="G92" s="8"/>
      <c r="H92" s="257"/>
      <c r="I92" s="293"/>
      <c r="J92" s="293"/>
      <c r="K92" s="293"/>
      <c r="L92" s="293"/>
      <c r="M92" s="293"/>
      <c r="N92" s="293"/>
      <c r="O92" s="258"/>
    </row>
    <row r="93" spans="1:15" x14ac:dyDescent="0.25">
      <c r="A93" s="9"/>
      <c r="B93" s="5"/>
      <c r="C93" s="5"/>
      <c r="D93" s="5"/>
      <c r="E93" s="5"/>
      <c r="F93" s="5"/>
      <c r="G93" s="8"/>
      <c r="H93" s="257"/>
      <c r="I93" s="293"/>
      <c r="J93" s="293"/>
      <c r="K93" s="293"/>
      <c r="L93" s="293"/>
      <c r="M93" s="293"/>
      <c r="N93" s="293"/>
      <c r="O93" s="258"/>
    </row>
    <row r="94" spans="1:15" x14ac:dyDescent="0.25">
      <c r="A94" s="9"/>
      <c r="B94" s="5"/>
      <c r="C94" s="5"/>
      <c r="D94" s="5"/>
      <c r="E94" s="5"/>
      <c r="F94" s="5"/>
      <c r="G94" s="8"/>
      <c r="H94" s="257"/>
      <c r="I94" s="301"/>
      <c r="J94" s="301"/>
      <c r="K94" s="301"/>
      <c r="L94" s="301"/>
      <c r="M94" s="301"/>
      <c r="N94" s="301"/>
      <c r="O94" s="258"/>
    </row>
    <row r="95" spans="1:15" x14ac:dyDescent="0.25">
      <c r="A95" s="9"/>
      <c r="B95" s="5"/>
      <c r="C95" s="5"/>
      <c r="D95" s="5"/>
      <c r="E95" s="5"/>
      <c r="F95" s="5"/>
      <c r="G95" s="8"/>
      <c r="H95" s="257"/>
      <c r="I95" s="631" t="s">
        <v>305</v>
      </c>
      <c r="J95" s="631"/>
      <c r="K95" s="631"/>
      <c r="L95" s="631"/>
      <c r="M95" s="631"/>
      <c r="N95" s="631"/>
      <c r="O95" s="258"/>
    </row>
    <row r="96" spans="1:15" ht="15.75" x14ac:dyDescent="0.25">
      <c r="A96" s="9"/>
      <c r="B96" s="5"/>
      <c r="C96" s="5"/>
      <c r="D96" s="5"/>
      <c r="E96" s="5"/>
      <c r="F96" s="5"/>
      <c r="G96" s="8"/>
      <c r="H96" s="257"/>
      <c r="I96" s="294"/>
      <c r="J96" s="294"/>
      <c r="K96" s="294"/>
      <c r="L96" s="294"/>
      <c r="M96" s="293"/>
      <c r="N96" s="293"/>
      <c r="O96" s="258"/>
    </row>
    <row r="97" spans="1:15" ht="15.75" x14ac:dyDescent="0.25">
      <c r="A97" s="9"/>
      <c r="B97" s="5"/>
      <c r="C97" s="5"/>
      <c r="D97" s="5"/>
      <c r="E97" s="5"/>
      <c r="F97" s="5"/>
      <c r="G97" s="8"/>
      <c r="H97" s="257"/>
      <c r="I97" s="294"/>
      <c r="J97" s="294"/>
      <c r="K97" s="294"/>
      <c r="L97" s="294"/>
      <c r="M97" s="293"/>
      <c r="N97" s="293"/>
      <c r="O97" s="258"/>
    </row>
    <row r="98" spans="1:15" ht="15.75" x14ac:dyDescent="0.25">
      <c r="A98" s="9"/>
      <c r="B98" s="5"/>
      <c r="C98" s="5"/>
      <c r="D98" s="5"/>
      <c r="E98" s="5"/>
      <c r="F98" s="5"/>
      <c r="G98" s="8"/>
      <c r="H98" s="257"/>
      <c r="I98" s="294"/>
      <c r="J98" s="294"/>
      <c r="K98" s="294"/>
      <c r="L98" s="294"/>
      <c r="M98" s="293"/>
      <c r="N98" s="293"/>
      <c r="O98" s="258"/>
    </row>
    <row r="99" spans="1:15" ht="15.75" x14ac:dyDescent="0.25">
      <c r="A99" s="9"/>
      <c r="B99" s="5"/>
      <c r="C99" s="5"/>
      <c r="D99" s="5"/>
      <c r="E99" s="5"/>
      <c r="F99" s="5"/>
      <c r="G99" s="8"/>
      <c r="H99" s="257"/>
      <c r="I99" s="294"/>
      <c r="J99" s="294"/>
      <c r="K99" s="294"/>
      <c r="L99" s="294"/>
      <c r="M99" s="293"/>
      <c r="N99" s="293"/>
      <c r="O99" s="258"/>
    </row>
    <row r="100" spans="1:15" ht="14.45" customHeight="1" x14ac:dyDescent="0.25">
      <c r="A100" s="9"/>
      <c r="B100" s="5"/>
      <c r="C100" s="5"/>
      <c r="D100" s="5"/>
      <c r="E100" s="5"/>
      <c r="F100" s="5"/>
      <c r="G100" s="8"/>
      <c r="H100" s="257"/>
      <c r="I100" s="294"/>
      <c r="J100" s="294"/>
      <c r="K100" s="294"/>
      <c r="L100" s="294"/>
      <c r="M100" s="293"/>
      <c r="N100" s="293"/>
      <c r="O100" s="258"/>
    </row>
    <row r="101" spans="1:15" x14ac:dyDescent="0.25">
      <c r="A101" s="9"/>
      <c r="B101" s="5"/>
      <c r="C101" s="5"/>
      <c r="D101" s="5"/>
      <c r="E101" s="5"/>
      <c r="F101" s="5"/>
      <c r="G101" s="8"/>
      <c r="H101" s="257"/>
      <c r="I101" s="293"/>
      <c r="J101" s="293"/>
      <c r="K101" s="293"/>
      <c r="L101" s="293"/>
      <c r="M101" s="293"/>
      <c r="N101" s="293"/>
      <c r="O101" s="258"/>
    </row>
    <row r="102" spans="1:15" x14ac:dyDescent="0.25">
      <c r="A102" s="9"/>
      <c r="B102" s="5"/>
      <c r="C102" s="5"/>
      <c r="D102" s="5"/>
      <c r="E102" s="5"/>
      <c r="F102" s="5"/>
      <c r="G102" s="8"/>
      <c r="H102" s="257"/>
      <c r="I102" s="293"/>
      <c r="J102" s="293"/>
      <c r="K102" s="293"/>
      <c r="L102" s="293"/>
      <c r="M102" s="293"/>
      <c r="N102" s="293"/>
      <c r="O102" s="258"/>
    </row>
    <row r="103" spans="1:15" x14ac:dyDescent="0.25">
      <c r="A103" s="9"/>
      <c r="B103" s="5"/>
      <c r="C103" s="5"/>
      <c r="D103" s="5"/>
      <c r="E103" s="5"/>
      <c r="F103" s="5"/>
      <c r="G103" s="8"/>
      <c r="H103" s="257"/>
      <c r="I103" s="293"/>
      <c r="J103" s="293"/>
      <c r="K103" s="293"/>
      <c r="L103" s="293"/>
      <c r="M103" s="293"/>
      <c r="N103" s="293"/>
      <c r="O103" s="258"/>
    </row>
    <row r="104" spans="1:15" x14ac:dyDescent="0.25">
      <c r="A104" s="9"/>
      <c r="B104" s="5"/>
      <c r="C104" s="5"/>
      <c r="D104" s="5"/>
      <c r="E104" s="5"/>
      <c r="F104" s="5"/>
      <c r="G104" s="8"/>
      <c r="H104" s="257"/>
      <c r="I104" s="293"/>
      <c r="J104" s="293"/>
      <c r="K104" s="293"/>
      <c r="L104" s="293"/>
      <c r="M104" s="293"/>
      <c r="N104" s="293"/>
      <c r="O104" s="258"/>
    </row>
    <row r="105" spans="1:15" x14ac:dyDescent="0.25">
      <c r="A105" s="9"/>
      <c r="B105" s="5"/>
      <c r="C105" s="5"/>
      <c r="D105" s="5"/>
      <c r="E105" s="5"/>
      <c r="F105" s="5"/>
      <c r="G105" s="8"/>
      <c r="H105" s="257"/>
      <c r="I105" s="293"/>
      <c r="J105" s="293"/>
      <c r="K105" s="293"/>
      <c r="L105" s="293"/>
      <c r="M105" s="293"/>
      <c r="N105" s="293"/>
      <c r="O105" s="258"/>
    </row>
    <row r="106" spans="1:15" ht="14.45" customHeight="1" x14ac:dyDescent="0.25">
      <c r="A106" s="9"/>
      <c r="B106" s="5"/>
      <c r="C106" s="5"/>
      <c r="D106" s="5"/>
      <c r="E106" s="5"/>
      <c r="F106" s="5"/>
      <c r="G106" s="8"/>
      <c r="H106" s="257"/>
      <c r="I106" s="293"/>
      <c r="J106" s="293"/>
      <c r="K106" s="293"/>
      <c r="L106" s="293"/>
      <c r="M106" s="293"/>
      <c r="N106" s="293"/>
      <c r="O106" s="258"/>
    </row>
    <row r="107" spans="1:15" x14ac:dyDescent="0.25">
      <c r="A107" s="9"/>
      <c r="B107" s="5"/>
      <c r="C107" s="5"/>
      <c r="D107" s="5"/>
      <c r="E107" s="5"/>
      <c r="F107" s="5"/>
      <c r="G107" s="8"/>
      <c r="H107" s="257"/>
      <c r="I107" s="293"/>
      <c r="J107" s="293"/>
      <c r="K107" s="293"/>
      <c r="L107" s="293"/>
      <c r="M107" s="293"/>
      <c r="N107" s="293"/>
      <c r="O107" s="258"/>
    </row>
    <row r="108" spans="1:15" x14ac:dyDescent="0.25">
      <c r="A108" s="9"/>
      <c r="B108" s="5"/>
      <c r="C108" s="5"/>
      <c r="D108" s="5"/>
      <c r="E108" s="5"/>
      <c r="F108" s="5"/>
      <c r="G108" s="8"/>
      <c r="H108" s="257"/>
      <c r="I108" s="293"/>
      <c r="J108" s="293"/>
      <c r="K108" s="293"/>
      <c r="L108" s="293"/>
      <c r="M108" s="293"/>
      <c r="N108" s="293"/>
      <c r="O108" s="258"/>
    </row>
    <row r="109" spans="1:15" x14ac:dyDescent="0.25">
      <c r="A109" s="9"/>
      <c r="B109" s="5"/>
      <c r="C109" s="5"/>
      <c r="D109" s="5"/>
      <c r="E109" s="5"/>
      <c r="F109" s="5"/>
      <c r="G109" s="8"/>
      <c r="H109" s="257"/>
      <c r="I109" s="293"/>
      <c r="J109" s="293"/>
      <c r="K109" s="293"/>
      <c r="L109" s="293"/>
      <c r="M109" s="293"/>
      <c r="N109" s="293"/>
      <c r="O109" s="258"/>
    </row>
    <row r="110" spans="1:15" x14ac:dyDescent="0.25">
      <c r="A110" s="9"/>
      <c r="B110" s="5"/>
      <c r="C110" s="5"/>
      <c r="D110" s="5"/>
      <c r="E110" s="5"/>
      <c r="F110" s="5"/>
      <c r="G110" s="8"/>
      <c r="H110" s="257"/>
      <c r="I110" s="293"/>
      <c r="J110" s="293"/>
      <c r="K110" s="293"/>
      <c r="L110" s="293"/>
      <c r="M110" s="293"/>
      <c r="N110" s="293"/>
      <c r="O110" s="258"/>
    </row>
    <row r="111" spans="1:15" x14ac:dyDescent="0.25">
      <c r="A111" s="9"/>
      <c r="B111" s="5"/>
      <c r="C111" s="5"/>
      <c r="D111" s="5"/>
      <c r="E111" s="5"/>
      <c r="F111" s="5"/>
      <c r="G111" s="8"/>
      <c r="H111" s="257"/>
      <c r="I111" s="293"/>
      <c r="J111" s="293"/>
      <c r="K111" s="293"/>
      <c r="L111" s="293"/>
      <c r="M111" s="293"/>
      <c r="N111" s="293"/>
      <c r="O111" s="258"/>
    </row>
    <row r="112" spans="1:15" ht="14.45" customHeight="1" x14ac:dyDescent="0.25">
      <c r="A112" s="9"/>
      <c r="B112" s="5"/>
      <c r="C112" s="5"/>
      <c r="D112" s="5"/>
      <c r="E112" s="5"/>
      <c r="F112" s="5"/>
      <c r="G112" s="8"/>
      <c r="H112" s="257"/>
      <c r="I112" s="293"/>
      <c r="J112" s="293"/>
      <c r="K112" s="293"/>
      <c r="L112" s="293"/>
      <c r="M112" s="293"/>
      <c r="N112" s="293"/>
      <c r="O112" s="258"/>
    </row>
    <row r="113" spans="1:15" x14ac:dyDescent="0.25">
      <c r="A113" s="9"/>
      <c r="B113" s="5"/>
      <c r="C113" s="5"/>
      <c r="D113" s="5"/>
      <c r="E113" s="5"/>
      <c r="F113" s="5"/>
      <c r="G113" s="8"/>
      <c r="H113" s="257"/>
      <c r="I113" s="293"/>
      <c r="J113" s="293"/>
      <c r="K113" s="293"/>
      <c r="L113" s="293"/>
      <c r="M113" s="293"/>
      <c r="N113" s="293"/>
      <c r="O113" s="258"/>
    </row>
    <row r="114" spans="1:15" x14ac:dyDescent="0.25">
      <c r="A114" s="9"/>
      <c r="B114" s="5"/>
      <c r="C114" s="5"/>
      <c r="D114" s="5"/>
      <c r="E114" s="5"/>
      <c r="F114" s="5"/>
      <c r="G114" s="8"/>
      <c r="H114" s="257"/>
      <c r="I114" s="293"/>
      <c r="J114" s="293"/>
      <c r="K114" s="293"/>
      <c r="L114" s="293"/>
      <c r="M114" s="293"/>
      <c r="N114" s="293"/>
      <c r="O114" s="258"/>
    </row>
    <row r="115" spans="1:15" x14ac:dyDescent="0.25">
      <c r="A115" s="9"/>
      <c r="B115" s="5"/>
      <c r="C115" s="5"/>
      <c r="D115" s="5"/>
      <c r="E115" s="5"/>
      <c r="F115" s="5"/>
      <c r="G115" s="8"/>
      <c r="H115" s="257"/>
      <c r="I115" s="293"/>
      <c r="J115" s="293"/>
      <c r="K115" s="293"/>
      <c r="L115" s="293"/>
      <c r="M115" s="293"/>
      <c r="N115" s="293"/>
      <c r="O115" s="258"/>
    </row>
    <row r="116" spans="1:15" x14ac:dyDescent="0.25">
      <c r="A116" s="9"/>
      <c r="B116" s="5"/>
      <c r="C116" s="5"/>
      <c r="D116" s="5"/>
      <c r="E116" s="5"/>
      <c r="F116" s="5"/>
      <c r="G116" s="8"/>
      <c r="H116" s="257"/>
      <c r="I116" s="293"/>
      <c r="J116" s="293"/>
      <c r="K116" s="293"/>
      <c r="L116" s="293"/>
      <c r="M116" s="293"/>
      <c r="N116" s="293"/>
      <c r="O116" s="258"/>
    </row>
    <row r="117" spans="1:15" x14ac:dyDescent="0.25">
      <c r="A117" s="257"/>
      <c r="B117" s="293"/>
      <c r="C117" s="293"/>
      <c r="D117" s="293"/>
      <c r="E117" s="293"/>
      <c r="F117" s="293"/>
      <c r="G117" s="8"/>
      <c r="H117" s="257"/>
      <c r="I117" s="293"/>
      <c r="J117" s="293"/>
      <c r="K117" s="293"/>
      <c r="L117" s="293"/>
      <c r="M117" s="293"/>
      <c r="N117" s="293"/>
      <c r="O117" s="258"/>
    </row>
    <row r="118" spans="1:15" x14ac:dyDescent="0.25">
      <c r="A118" s="257"/>
      <c r="B118" s="293"/>
      <c r="C118" s="293"/>
      <c r="D118" s="293"/>
      <c r="E118" s="293"/>
      <c r="F118" s="293"/>
      <c r="G118" s="8"/>
      <c r="H118" s="257"/>
      <c r="I118" s="293"/>
      <c r="J118" s="293"/>
      <c r="K118" s="293"/>
      <c r="L118" s="293"/>
      <c r="M118" s="293"/>
      <c r="N118" s="293"/>
      <c r="O118" s="258"/>
    </row>
    <row r="119" spans="1:15" ht="15.75" thickBot="1" x14ac:dyDescent="0.3">
      <c r="A119" s="259"/>
      <c r="B119" s="260"/>
      <c r="C119" s="260"/>
      <c r="D119" s="260"/>
      <c r="E119" s="260"/>
      <c r="F119" s="260"/>
      <c r="G119" s="12"/>
      <c r="H119" s="259"/>
      <c r="I119" s="260"/>
      <c r="J119" s="260"/>
      <c r="K119" s="260"/>
      <c r="L119" s="260"/>
      <c r="M119" s="260"/>
      <c r="N119" s="260"/>
      <c r="O119" s="261"/>
    </row>
  </sheetData>
  <mergeCells count="43">
    <mergeCell ref="A1:G1"/>
    <mergeCell ref="I1:O1"/>
    <mergeCell ref="I4:L9"/>
    <mergeCell ref="B5:D5"/>
    <mergeCell ref="M7:O7"/>
    <mergeCell ref="A9:E9"/>
    <mergeCell ref="A10:C10"/>
    <mergeCell ref="I10:L10"/>
    <mergeCell ref="A11:B11"/>
    <mergeCell ref="D11:F11"/>
    <mergeCell ref="A12:C12"/>
    <mergeCell ref="I12:L12"/>
    <mergeCell ref="A13:C13"/>
    <mergeCell ref="I14:L14"/>
    <mergeCell ref="M14:O16"/>
    <mergeCell ref="I16:L16"/>
    <mergeCell ref="E18:F18"/>
    <mergeCell ref="I18:L18"/>
    <mergeCell ref="E20:F20"/>
    <mergeCell ref="C47:D47"/>
    <mergeCell ref="C55:D55"/>
    <mergeCell ref="I20:L20"/>
    <mergeCell ref="A21:C21"/>
    <mergeCell ref="A22:B22"/>
    <mergeCell ref="A23:B29"/>
    <mergeCell ref="E23:F24"/>
    <mergeCell ref="E26:F27"/>
    <mergeCell ref="I27:L32"/>
    <mergeCell ref="E28:E29"/>
    <mergeCell ref="F28:F29"/>
    <mergeCell ref="A30:C32"/>
    <mergeCell ref="E30:F31"/>
    <mergeCell ref="I33:L34"/>
    <mergeCell ref="K35:N35"/>
    <mergeCell ref="I82:N82"/>
    <mergeCell ref="A34:C34"/>
    <mergeCell ref="D34:F34"/>
    <mergeCell ref="I95:N95"/>
    <mergeCell ref="I41:K51"/>
    <mergeCell ref="L48:M48"/>
    <mergeCell ref="N48:O48"/>
    <mergeCell ref="C62:D62"/>
    <mergeCell ref="D72:F77"/>
  </mergeCells>
  <dataValidations count="3">
    <dataValidation type="whole" errorStyle="information" allowBlank="1" showInputMessage="1" showErrorMessage="1" errorTitle="Недопустимое значение" error="Открытая полка может быть высотой от 200 до 400 мм и равна высоте фронтального фартука" sqref="J37:J39" xr:uid="{EBDF4936-90D0-4AA9-9D7C-9C0173453021}">
      <formula1>200</formula1>
      <formula2>400</formula2>
    </dataValidation>
    <dataValidation type="whole" operator="greaterThanOrEqual" allowBlank="1" showInputMessage="1" showErrorMessage="1" errorTitle="мимнимальный отступ от чаши" error="минимальная ширина столешницы 20мм" sqref="B8:E8" xr:uid="{BEF4821E-E6C6-440F-96FA-8610CD374B72}">
      <formula1>20</formula1>
    </dataValidation>
    <dataValidation type="whole" errorStyle="information" allowBlank="1" showInputMessage="1" showErrorMessage="1" errorTitle="Недопустимое значение" error="Ширина открытой полки может быть от 200 до 1000 мм" sqref="K37:M39" xr:uid="{9B0D2397-2B3A-4A3B-B5A0-E240B69789BB}">
      <formula1>200</formula1>
      <formula2>1000</formula2>
    </dataValidation>
  </dataValidations>
  <printOptions horizontalCentered="1" verticalCentered="1"/>
  <pageMargins left="0.70866141732283472" right="0.51181102362204722" top="0.35433070866141736" bottom="0.35433070866141736" header="0" footer="0"/>
  <pageSetup paperSize="9" scale="85" firstPageNumber="2147483648" fitToHeight="0" orientation="landscape" r:id="rId1"/>
  <rowBreaks count="2" manualBreakCount="2">
    <brk id="32" max="16383" man="1"/>
    <brk id="69" max="16383" man="1"/>
  </rowBreaks>
  <colBreaks count="1" manualBreakCount="1">
    <brk id="7" max="1048575" man="1"/>
  </colBreaks>
  <ignoredErrors>
    <ignoredError sqref="N37:O39" formulaRange="1"/>
    <ignoredError sqref="C18:C19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DDB657A9-148C-4FC9-8522-DC994A4B3E33}">
          <x14:formula1>
            <xm:f>Списки!$E$64:$E$66</xm:f>
          </x14:formula1>
          <xm:sqref>E22</xm:sqref>
        </x14:dataValidation>
        <x14:dataValidation type="list" allowBlank="1" showInputMessage="1" showErrorMessage="1" xr:uid="{60DA1B7D-675A-459F-9A0A-A0B44CC41D4E}">
          <x14:formula1>
            <xm:f>Списки!$D$59:$D$61</xm:f>
          </x14:formula1>
          <xm:sqref>K24:L24</xm:sqref>
        </x14:dataValidation>
        <x14:dataValidation type="list" allowBlank="1" showInputMessage="1" showErrorMessage="1" xr:uid="{9CB15015-FD2E-4470-8363-3328422B8E86}">
          <x14:formula1>
            <xm:f>Списки!$C$64:$C$65</xm:f>
          </x14:formula1>
          <xm:sqref>K22:L22</xm:sqref>
        </x14:dataValidation>
        <x14:dataValidation type="list" allowBlank="1" showInputMessage="1" showErrorMessage="1" xr:uid="{58BBA198-4D09-4C1B-81FC-82405276F167}">
          <x14:formula1>
            <xm:f>Списки!$B$64:$B$66</xm:f>
          </x14:formula1>
          <xm:sqref>I22</xm:sqref>
        </x14:dataValidation>
        <x14:dataValidation type="list" allowBlank="1" showInputMessage="1" showErrorMessage="1" xr:uid="{4478DFE0-7362-41F0-9B26-7E7582D6E80C}">
          <x14:formula1>
            <xm:f>Списки!$B$59:$B$62</xm:f>
          </x14:formula1>
          <xm:sqref>I24 I26</xm:sqref>
        </x14:dataValidation>
        <x14:dataValidation type="list" allowBlank="1" showInputMessage="1" showErrorMessage="1" xr:uid="{333D9EB1-DF65-4231-912F-B293382A7DC2}">
          <x14:formula1>
            <xm:f>Списки!$B$68:$B$69</xm:f>
          </x14:formula1>
          <xm:sqref>C22</xm:sqref>
        </x14:dataValidation>
        <x14:dataValidation type="list" allowBlank="1" showInputMessage="1" showErrorMessage="1" xr:uid="{049BDB46-5225-4C78-9336-9131BB45CF85}">
          <x14:formula1>
            <xm:f>Списки!$B$55:$B$57</xm:f>
          </x14:formula1>
          <xm:sqref>A8</xm:sqref>
        </x14:dataValidation>
        <x14:dataValidation type="list" allowBlank="1" showInputMessage="1" showErrorMessage="1" xr:uid="{93DB82BE-32E2-457B-B24A-F40858EF4831}">
          <x14:formula1>
            <xm:f>Списки!$B$38:$B$39</xm:f>
          </x14:formula1>
          <xm:sqref>F8:H8</xm:sqref>
        </x14:dataValidation>
        <x14:dataValidation type="list" showInputMessage="1" showErrorMessage="1" xr:uid="{CA659653-A7D2-4E48-B213-6E207E90BC84}">
          <x14:formula1>
            <xm:f>Списки!$B$52:$B$53</xm:f>
          </x14:formula1>
          <xm:sqref>F25</xm:sqref>
        </x14:dataValidation>
        <x14:dataValidation type="list" allowBlank="1" showInputMessage="1" showErrorMessage="1" xr:uid="{1D16D38C-04A4-4520-8F36-55135AA8D23F}">
          <x14:formula1>
            <xm:f>Списки!$E$20:$E$22</xm:f>
          </x14:formula1>
          <xm:sqref>F28:F29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886BA-8FAF-4C81-9F89-F9337A59811B}">
  <sheetPr>
    <tabColor theme="4"/>
  </sheetPr>
  <dimension ref="A3:M19"/>
  <sheetViews>
    <sheetView workbookViewId="0">
      <selection activeCell="F10" sqref="F10"/>
    </sheetView>
  </sheetViews>
  <sheetFormatPr defaultColWidth="8.85546875" defaultRowHeight="15" x14ac:dyDescent="0.25"/>
  <cols>
    <col min="1" max="1" width="12.7109375" style="246" customWidth="1"/>
    <col min="2" max="5" width="8.85546875" style="246"/>
    <col min="6" max="6" width="4.140625" style="246" customWidth="1"/>
    <col min="7" max="7" width="15.28515625" style="246" customWidth="1"/>
    <col min="8" max="8" width="12.140625" style="246" customWidth="1"/>
    <col min="9" max="9" width="24" style="246" customWidth="1"/>
    <col min="10" max="10" width="4.85546875" style="246" customWidth="1"/>
    <col min="11" max="11" width="10.28515625" style="246" customWidth="1"/>
    <col min="12" max="12" width="11.7109375" style="246" customWidth="1"/>
    <col min="13" max="13" width="9.140625" customWidth="1"/>
    <col min="14" max="16384" width="8.85546875" style="246"/>
  </cols>
  <sheetData>
    <row r="3" spans="1:2" x14ac:dyDescent="0.25">
      <c r="A3" s="247" t="s">
        <v>269</v>
      </c>
    </row>
    <row r="5" spans="1:2" x14ac:dyDescent="0.25">
      <c r="A5" s="246" t="s">
        <v>270</v>
      </c>
      <c r="B5" s="246">
        <v>0</v>
      </c>
    </row>
    <row r="6" spans="1:2" x14ac:dyDescent="0.25">
      <c r="B6" s="246">
        <v>1</v>
      </c>
    </row>
    <row r="7" spans="1:2" x14ac:dyDescent="0.25">
      <c r="B7" s="246">
        <v>2</v>
      </c>
    </row>
    <row r="8" spans="1:2" x14ac:dyDescent="0.25">
      <c r="B8" s="246">
        <v>3</v>
      </c>
    </row>
    <row r="10" spans="1:2" x14ac:dyDescent="0.25">
      <c r="A10" s="246" t="s">
        <v>273</v>
      </c>
      <c r="B10" s="246">
        <v>0</v>
      </c>
    </row>
    <row r="11" spans="1:2" x14ac:dyDescent="0.25">
      <c r="B11" s="246">
        <v>200</v>
      </c>
    </row>
    <row r="12" spans="1:2" x14ac:dyDescent="0.25">
      <c r="B12" s="246">
        <v>300</v>
      </c>
    </row>
    <row r="13" spans="1:2" x14ac:dyDescent="0.25">
      <c r="B13" s="246">
        <v>400</v>
      </c>
    </row>
    <row r="14" spans="1:2" x14ac:dyDescent="0.25">
      <c r="B14" s="246">
        <v>500</v>
      </c>
    </row>
    <row r="15" spans="1:2" x14ac:dyDescent="0.25">
      <c r="B15" s="246">
        <v>600</v>
      </c>
    </row>
    <row r="16" spans="1:2" x14ac:dyDescent="0.25">
      <c r="B16" s="246">
        <v>700</v>
      </c>
    </row>
    <row r="17" spans="2:2" x14ac:dyDescent="0.25">
      <c r="B17" s="246">
        <v>800</v>
      </c>
    </row>
    <row r="18" spans="2:2" x14ac:dyDescent="0.25">
      <c r="B18" s="246">
        <v>900</v>
      </c>
    </row>
    <row r="19" spans="2:2" x14ac:dyDescent="0.25">
      <c r="B19" s="246">
        <v>1000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/>
  <dimension ref="B3:D10"/>
  <sheetViews>
    <sheetView workbookViewId="0">
      <selection activeCell="C8" sqref="C8:C10"/>
    </sheetView>
  </sheetViews>
  <sheetFormatPr defaultRowHeight="15" x14ac:dyDescent="0.25"/>
  <cols>
    <col min="3" max="4" width="13.5703125" customWidth="1"/>
  </cols>
  <sheetData>
    <row r="3" spans="2:4" x14ac:dyDescent="0.25">
      <c r="B3" t="s">
        <v>0</v>
      </c>
      <c r="C3" t="e">
        <f>#REF!</f>
        <v>#REF!</v>
      </c>
      <c r="D3" t="e">
        <f>#REF!</f>
        <v>#REF!</v>
      </c>
    </row>
    <row r="4" spans="2:4" x14ac:dyDescent="0.25">
      <c r="B4" s="288" t="s">
        <v>2</v>
      </c>
      <c r="C4" t="e">
        <f>#REF!*1.5</f>
        <v>#REF!</v>
      </c>
      <c r="D4" t="e">
        <f>#REF!*1.5</f>
        <v>#REF!</v>
      </c>
    </row>
    <row r="8" spans="2:4" x14ac:dyDescent="0.25">
      <c r="C8" s="4" t="s">
        <v>3</v>
      </c>
    </row>
    <row r="9" spans="2:4" x14ac:dyDescent="0.25">
      <c r="C9" s="4" t="s">
        <v>4</v>
      </c>
    </row>
    <row r="10" spans="2:4" x14ac:dyDescent="0.25">
      <c r="C10" s="4" t="s">
        <v>5</v>
      </c>
    </row>
  </sheetData>
  <pageMargins left="0.7" right="0.7" top="0.75" bottom="0.75" header="0.3" footer="0.3"/>
  <pageSetup paperSize="9" firstPageNumber="2147483648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4 9 0 W q B K G x O k A A A A 9 g A A A B I A H A B D b 2 5 m a W c v U G F j a 2 F n Z S 5 4 b W w g o h g A K K A U A A A A A A A A A A A A A A A A A A A A A A A A A A A A h Y 9 N D o I w G E S v Q r q n L Y i J I R 9 l 4 V Y S o 9 G 4 J a V C I x T T H 8 v d X H g k r y B G U X c u 5 8 1 b z N y v N 8 i H r g 0 u Q h v Z q w x F m K J A K N 5 X U t U Z c v Y Y L l D O Y F 3 y U 1 m L Y J S V S Q d T Z a i x 9 p w S 4 r 3 H f o Z 7 X Z O Y 0 o g c i t W W N 6 I r 0 U e W / + V Q K m N L x Q V i s H + N Y T G O E o o T O s c U y A S h k O o r x O P e Z / s D Y e l a 6 7 R g 2 o W b H Z A p A n l / Y A 9 Q S w M E F A A C A A g A J 4 9 0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e P d F o o i k e 4 D g A A A B E A A A A T A B w A R m 9 y b X V s Y X M v U 2 V j d G l v b j E u b S C i G A A o o B Q A A A A A A A A A A A A A A A A A A A A A A A A A A A A r T k 0 u y c z P U w i G 0 I b W A F B L A Q I t A B Q A A g A I A C e P d F q g S h s T p A A A A P Y A A A A S A A A A A A A A A A A A A A A A A A A A A A B D b 2 5 m a W c v U G F j a 2 F n Z S 5 4 b W x Q S w E C L Q A U A A I A C A A n j 3 R a D 8 r p q 6 Q A A A D p A A A A E w A A A A A A A A A A A A A A A A D w A A A A W 0 N v b n R l b n R f V H l w Z X N d L n h t b F B L A Q I t A B Q A A g A I A C e P d F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e 4 M F 6 + 7 P w R o p D F / f k h e c r A A A A A A I A A A A A A B B m A A A A A Q A A I A A A A O h c 7 Y c T E 0 k q e 1 1 L X E H Y f l Q B H u J X l i 8 g 3 L O P w B O r U O g f A A A A A A 6 A A A A A A g A A I A A A A E T I k v J s F i 8 E / U P L X v r 9 I o T 3 s h Y 4 1 K M g h p a w 3 + W 9 D 4 X Y U A A A A A a L O D / 8 p w s 8 1 W / V 9 p b K q K F H v W P 9 U 2 f F / a i l b c W W D v W S + g d e Q 6 g K H 3 H S 6 R 5 t x 8 9 o 6 l P W d 5 z 4 q a v 4 I c w B I O L 2 x m S I Q Q 7 P l n G 7 L H o j a m Y t q w V g Q A A A A G C v b p 9 n d J e n d h y G J G 6 w g I D + x b L e H 2 + S f 9 / x N z j 9 7 S 1 8 l 6 8 2 e o t r X z q G L Q 7 D 8 C t t q j 4 v 6 0 b 2 / 4 Z 4 9 c Z g O j h p D h Q = < / D a t a M a s h u p > 
</file>

<file path=customXml/itemProps1.xml><?xml version="1.0" encoding="utf-8"?>
<ds:datastoreItem xmlns:ds="http://schemas.openxmlformats.org/officeDocument/2006/customXml" ds:itemID="{EF7EC470-9D4B-440E-8B7D-CC73EB3431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ЦЕНЫ</vt:lpstr>
      <vt:lpstr>РАСЧЕТ COSTA NEW</vt:lpstr>
      <vt:lpstr>РАСЧЕТ ONDA NEW</vt:lpstr>
      <vt:lpstr>Списки</vt:lpstr>
      <vt:lpstr>РАСЧЕТ COSTA удалить</vt:lpstr>
      <vt:lpstr>РАСЧЕТ ONDA удалить</vt:lpstr>
      <vt:lpstr>РАСЧЕТ ONDA 72 удалить</vt:lpstr>
      <vt:lpstr>Открытая полка</vt:lpstr>
      <vt:lpstr>RAL</vt:lpstr>
      <vt:lpstr>'РАСЧЕТ ONDA 72 удалить'!Область_печати</vt:lpstr>
      <vt:lpstr>'РАСЧЕТ ONDA NEW'!Область_печати</vt:lpstr>
      <vt:lpstr>'РАСЧЕТ ONDA удалить'!Область_печати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Solovyeva</cp:lastModifiedBy>
  <cp:revision>3</cp:revision>
  <cp:lastPrinted>2025-07-22T07:05:47Z</cp:lastPrinted>
  <dcterms:created xsi:type="dcterms:W3CDTF">2015-06-05T18:19:34Z</dcterms:created>
  <dcterms:modified xsi:type="dcterms:W3CDTF">2026-06-09T19:17:36Z</dcterms:modified>
</cp:coreProperties>
</file>